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RCHITEKTURA\1-PROJEKTY\2021\A21019\40-Projekt\43-PB\433-PB-K\"/>
    </mc:Choice>
  </mc:AlternateContent>
  <xr:revisionPtr revIDLastSave="0" documentId="13_ncr:1_{1545750F-1915-47AF-B769-AE007CE106AD}" xr6:coauthVersionLast="47" xr6:coauthVersionMax="47" xr10:uidLastSave="{00000000-0000-0000-0000-000000000000}"/>
  <bookViews>
    <workbookView xWindow="-120" yWindow="-120" windowWidth="25440" windowHeight="15390" activeTab="3" xr2:uid="{52E390A4-94F7-4F92-9CAB-D8B84F717394}"/>
  </bookViews>
  <sheets>
    <sheet name="F" sheetId="10" r:id="rId1"/>
    <sheet name="P" sheetId="3" r:id="rId2"/>
    <sheet name="0" sheetId="6" r:id="rId3"/>
    <sheet name="1" sheetId="8" r:id="rId4"/>
    <sheet name="2" sheetId="9" r:id="rId5"/>
    <sheet name="3" sheetId="13" r:id="rId6"/>
    <sheet name="4" sheetId="12" r:id="rId7"/>
    <sheet name="5" sheetId="14" r:id="rId8"/>
    <sheet name="6" sheetId="11" r:id="rId9"/>
    <sheet name="7" sheetId="7" r:id="rId10"/>
    <sheet name="8" sheetId="2" r:id="rId11"/>
    <sheet name="9" sheetId="5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0" i="11" l="1"/>
  <c r="J49" i="11"/>
  <c r="J48" i="11"/>
  <c r="J47" i="11"/>
  <c r="J46" i="11"/>
  <c r="J45" i="11"/>
  <c r="J44" i="11"/>
  <c r="J50" i="14"/>
  <c r="J49" i="14"/>
  <c r="J48" i="14"/>
  <c r="J47" i="14"/>
  <c r="J46" i="14"/>
  <c r="J57" i="14" s="1"/>
  <c r="J45" i="14"/>
  <c r="J44" i="14"/>
  <c r="J50" i="12"/>
  <c r="J49" i="12"/>
  <c r="J48" i="12"/>
  <c r="J47" i="12"/>
  <c r="J46" i="12"/>
  <c r="J45" i="12"/>
  <c r="J44" i="12"/>
  <c r="J50" i="13"/>
  <c r="J49" i="13"/>
  <c r="J48" i="13"/>
  <c r="J47" i="13"/>
  <c r="J46" i="13"/>
  <c r="J45" i="13"/>
  <c r="J44" i="13"/>
  <c r="J50" i="9"/>
  <c r="J49" i="9"/>
  <c r="J48" i="9"/>
  <c r="J47" i="9"/>
  <c r="J46" i="9"/>
  <c r="J45" i="9"/>
  <c r="J44" i="9"/>
  <c r="J42" i="9"/>
  <c r="J42" i="8"/>
  <c r="J47" i="8"/>
  <c r="J50" i="8"/>
  <c r="J42" i="11"/>
  <c r="J44" i="8"/>
  <c r="J45" i="8"/>
  <c r="J46" i="8"/>
  <c r="J48" i="8"/>
  <c r="J49" i="8"/>
  <c r="J42" i="14"/>
  <c r="J42" i="12"/>
  <c r="J42" i="13"/>
  <c r="J32" i="12"/>
  <c r="J30" i="5"/>
  <c r="I30" i="5"/>
  <c r="J84" i="2"/>
  <c r="J51" i="7"/>
  <c r="I84" i="2"/>
  <c r="I51" i="7"/>
  <c r="I57" i="11"/>
  <c r="I57" i="14"/>
  <c r="I57" i="12"/>
  <c r="I57" i="13"/>
  <c r="J57" i="13"/>
  <c r="J38" i="10"/>
  <c r="I105" i="3"/>
  <c r="J105" i="3"/>
  <c r="J96" i="3"/>
  <c r="J95" i="3"/>
  <c r="J91" i="3"/>
  <c r="J68" i="3"/>
  <c r="J50" i="3"/>
  <c r="J47" i="3"/>
  <c r="J44" i="3"/>
  <c r="J41" i="3"/>
  <c r="J38" i="3"/>
  <c r="J35" i="3"/>
  <c r="J34" i="3"/>
  <c r="J31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2" i="3"/>
  <c r="J33" i="3"/>
  <c r="J36" i="3"/>
  <c r="J37" i="3"/>
  <c r="J39" i="3"/>
  <c r="J40" i="3"/>
  <c r="J42" i="3"/>
  <c r="J43" i="3"/>
  <c r="J45" i="3"/>
  <c r="J46" i="3"/>
  <c r="J48" i="3"/>
  <c r="J49" i="3"/>
  <c r="J16" i="3"/>
  <c r="J64" i="3"/>
  <c r="J78" i="6"/>
  <c r="Q78" i="6"/>
  <c r="O78" i="6"/>
  <c r="J29" i="5"/>
  <c r="I78" i="6"/>
  <c r="M78" i="6"/>
  <c r="I29" i="5"/>
  <c r="J61" i="3"/>
  <c r="J67" i="3"/>
  <c r="J66" i="3"/>
  <c r="J65" i="3"/>
  <c r="I63" i="3"/>
  <c r="O65" i="3"/>
  <c r="O66" i="3"/>
  <c r="O67" i="3"/>
  <c r="O68" i="3"/>
  <c r="O64" i="3"/>
  <c r="L68" i="3"/>
  <c r="L67" i="3"/>
  <c r="L66" i="3"/>
  <c r="L65" i="3"/>
  <c r="L64" i="3"/>
  <c r="J63" i="3"/>
  <c r="J92" i="3"/>
  <c r="J81" i="3"/>
  <c r="J84" i="3"/>
  <c r="J83" i="3"/>
  <c r="J82" i="3"/>
  <c r="J80" i="3"/>
  <c r="J88" i="3"/>
  <c r="J87" i="3"/>
  <c r="J86" i="3"/>
  <c r="J85" i="3"/>
  <c r="I61" i="3"/>
  <c r="P86" i="3"/>
  <c r="P87" i="3"/>
  <c r="P88" i="3"/>
  <c r="P85" i="3"/>
  <c r="L85" i="3"/>
  <c r="L86" i="3"/>
  <c r="L87" i="3"/>
  <c r="L88" i="3"/>
  <c r="L61" i="3"/>
  <c r="O86" i="3"/>
  <c r="O87" i="3"/>
  <c r="O88" i="3"/>
  <c r="O85" i="3"/>
  <c r="J79" i="3"/>
  <c r="J78" i="3"/>
  <c r="J74" i="3"/>
  <c r="J73" i="3"/>
  <c r="J70" i="3"/>
  <c r="J71" i="6"/>
  <c r="J70" i="6"/>
  <c r="J69" i="6"/>
  <c r="J65" i="6"/>
  <c r="J61" i="6"/>
  <c r="J77" i="3"/>
  <c r="J76" i="3"/>
  <c r="J75" i="3"/>
  <c r="J72" i="3"/>
  <c r="J71" i="3"/>
  <c r="J68" i="6"/>
  <c r="J67" i="6"/>
  <c r="J66" i="6"/>
  <c r="J64" i="6"/>
  <c r="J63" i="6"/>
  <c r="J62" i="6"/>
  <c r="J40" i="8"/>
  <c r="J39" i="8"/>
  <c r="J38" i="8"/>
  <c r="J37" i="8"/>
  <c r="J36" i="8"/>
  <c r="J35" i="8"/>
  <c r="J34" i="8"/>
  <c r="J33" i="8"/>
  <c r="J32" i="8"/>
  <c r="J31" i="8"/>
  <c r="J30" i="8"/>
  <c r="J40" i="9"/>
  <c r="J39" i="9"/>
  <c r="J38" i="9"/>
  <c r="J37" i="9"/>
  <c r="J36" i="9"/>
  <c r="J35" i="9"/>
  <c r="J34" i="9"/>
  <c r="J33" i="9"/>
  <c r="J32" i="9"/>
  <c r="J31" i="9"/>
  <c r="J30" i="9"/>
  <c r="J40" i="13"/>
  <c r="J39" i="13"/>
  <c r="J38" i="13"/>
  <c r="J37" i="13"/>
  <c r="J36" i="13"/>
  <c r="J35" i="13"/>
  <c r="J34" i="13"/>
  <c r="J33" i="13"/>
  <c r="J32" i="13"/>
  <c r="J31" i="13"/>
  <c r="J30" i="13"/>
  <c r="J40" i="12"/>
  <c r="J39" i="12"/>
  <c r="J38" i="12"/>
  <c r="J37" i="12"/>
  <c r="J36" i="12"/>
  <c r="J35" i="12"/>
  <c r="J34" i="12"/>
  <c r="J33" i="12"/>
  <c r="J31" i="12"/>
  <c r="J30" i="12"/>
  <c r="J40" i="14"/>
  <c r="J39" i="14"/>
  <c r="J38" i="14"/>
  <c r="J37" i="14"/>
  <c r="J36" i="14"/>
  <c r="J35" i="14"/>
  <c r="J34" i="14"/>
  <c r="J33" i="14"/>
  <c r="J32" i="14"/>
  <c r="J31" i="14"/>
  <c r="J30" i="14"/>
  <c r="J40" i="11"/>
  <c r="J39" i="11"/>
  <c r="J38" i="11"/>
  <c r="J37" i="11"/>
  <c r="J36" i="11"/>
  <c r="J35" i="11"/>
  <c r="J34" i="11"/>
  <c r="J33" i="11"/>
  <c r="J32" i="11"/>
  <c r="J31" i="11"/>
  <c r="J30" i="11"/>
  <c r="J41" i="7"/>
  <c r="J40" i="7"/>
  <c r="J39" i="7"/>
  <c r="J38" i="7"/>
  <c r="J37" i="7"/>
  <c r="J36" i="7"/>
  <c r="J35" i="7"/>
  <c r="J34" i="7"/>
  <c r="J33" i="7"/>
  <c r="J32" i="7"/>
  <c r="J31" i="7"/>
  <c r="J75" i="2"/>
  <c r="J74" i="2"/>
  <c r="J73" i="2"/>
  <c r="J72" i="2"/>
  <c r="J71" i="2"/>
  <c r="J70" i="2"/>
  <c r="J69" i="2"/>
  <c r="J68" i="2"/>
  <c r="J67" i="2"/>
  <c r="J66" i="2"/>
  <c r="J65" i="2"/>
  <c r="J13" i="5"/>
  <c r="J12" i="5"/>
  <c r="J11" i="5"/>
  <c r="J10" i="5"/>
  <c r="J9" i="5"/>
  <c r="J8" i="5"/>
  <c r="J7" i="5"/>
  <c r="J6" i="5"/>
  <c r="J5" i="5"/>
  <c r="J21" i="10"/>
  <c r="O72" i="6"/>
  <c r="J72" i="6"/>
  <c r="I28" i="8"/>
  <c r="J73" i="6"/>
  <c r="J74" i="6"/>
  <c r="J75" i="6"/>
  <c r="U73" i="6"/>
  <c r="U74" i="6"/>
  <c r="U75" i="6"/>
  <c r="S73" i="6"/>
  <c r="S74" i="6"/>
  <c r="S75" i="6"/>
  <c r="Q73" i="6"/>
  <c r="Q74" i="6"/>
  <c r="Q75" i="6"/>
  <c r="O73" i="6"/>
  <c r="O74" i="6"/>
  <c r="O75" i="6"/>
  <c r="S72" i="6"/>
  <c r="U72" i="6"/>
  <c r="Q72" i="6"/>
  <c r="J94" i="3"/>
  <c r="J77" i="6"/>
  <c r="J86" i="6"/>
  <c r="J85" i="6"/>
  <c r="J84" i="6"/>
  <c r="J83" i="6"/>
  <c r="J82" i="6"/>
  <c r="J81" i="6"/>
  <c r="J80" i="6"/>
  <c r="J43" i="7"/>
  <c r="J77" i="2"/>
  <c r="J28" i="5"/>
  <c r="I26" i="5"/>
  <c r="M29" i="5"/>
  <c r="Q29" i="5"/>
  <c r="O29" i="5"/>
  <c r="J26" i="5"/>
  <c r="J79" i="2"/>
  <c r="I79" i="2"/>
  <c r="J46" i="7"/>
  <c r="I46" i="7"/>
  <c r="J52" i="11"/>
  <c r="J52" i="14"/>
  <c r="J52" i="12"/>
  <c r="J52" i="13"/>
  <c r="J52" i="9"/>
  <c r="J52" i="8"/>
  <c r="I52" i="11"/>
  <c r="I52" i="14"/>
  <c r="I52" i="12"/>
  <c r="I52" i="13"/>
  <c r="I52" i="9"/>
  <c r="I52" i="8"/>
  <c r="J88" i="6"/>
  <c r="I88" i="6"/>
  <c r="J98" i="3"/>
  <c r="I98" i="3"/>
  <c r="V79" i="2"/>
  <c r="T79" i="2"/>
  <c r="V46" i="7"/>
  <c r="T46" i="7"/>
  <c r="V52" i="11"/>
  <c r="T52" i="11"/>
  <c r="V52" i="14"/>
  <c r="T52" i="14"/>
  <c r="V52" i="12"/>
  <c r="T52" i="12"/>
  <c r="V52" i="13"/>
  <c r="T52" i="13"/>
  <c r="V52" i="9"/>
  <c r="T52" i="9"/>
  <c r="V52" i="8"/>
  <c r="T52" i="8"/>
  <c r="V88" i="6"/>
  <c r="T88" i="6"/>
  <c r="V98" i="3"/>
  <c r="J99" i="3"/>
  <c r="T98" i="3"/>
  <c r="J101" i="3"/>
  <c r="I101" i="3"/>
  <c r="N98" i="3"/>
  <c r="L98" i="3"/>
  <c r="I43" i="6"/>
  <c r="I42" i="6"/>
  <c r="I41" i="6"/>
  <c r="I40" i="6"/>
  <c r="J41" i="6"/>
  <c r="J43" i="6"/>
  <c r="J42" i="6"/>
  <c r="J40" i="6"/>
  <c r="J9" i="8"/>
  <c r="L41" i="6"/>
  <c r="L42" i="6"/>
  <c r="L43" i="6"/>
  <c r="O41" i="6"/>
  <c r="O42" i="6"/>
  <c r="O43" i="6"/>
  <c r="O40" i="6"/>
  <c r="L40" i="6"/>
  <c r="L45" i="6"/>
  <c r="I9" i="8"/>
  <c r="J46" i="6"/>
  <c r="I46" i="6"/>
  <c r="J45" i="6"/>
  <c r="I45" i="6"/>
  <c r="J9" i="9"/>
  <c r="J9" i="13"/>
  <c r="J9" i="12"/>
  <c r="J9" i="11"/>
  <c r="J11" i="8"/>
  <c r="J11" i="9"/>
  <c r="J11" i="13"/>
  <c r="J11" i="12"/>
  <c r="J11" i="14"/>
  <c r="J11" i="11"/>
  <c r="J10" i="8"/>
  <c r="J10" i="9"/>
  <c r="J10" i="13"/>
  <c r="J10" i="12"/>
  <c r="J10" i="14"/>
  <c r="J10" i="11"/>
  <c r="I11" i="8"/>
  <c r="I11" i="9"/>
  <c r="I11" i="13"/>
  <c r="I11" i="12"/>
  <c r="I11" i="14"/>
  <c r="I11" i="11"/>
  <c r="I10" i="8"/>
  <c r="I10" i="9"/>
  <c r="I10" i="13"/>
  <c r="I10" i="12"/>
  <c r="I10" i="14"/>
  <c r="I10" i="11"/>
  <c r="J12" i="7"/>
  <c r="I12" i="7"/>
  <c r="I11" i="7"/>
  <c r="J10" i="7"/>
  <c r="I9" i="9"/>
  <c r="I9" i="13"/>
  <c r="I9" i="12"/>
  <c r="I9" i="14"/>
  <c r="J9" i="14"/>
  <c r="L10" i="14"/>
  <c r="I9" i="11"/>
  <c r="I10" i="7"/>
  <c r="O11" i="8"/>
  <c r="L11" i="8"/>
  <c r="O10" i="8"/>
  <c r="L10" i="8"/>
  <c r="O11" i="9"/>
  <c r="L11" i="9"/>
  <c r="O10" i="9"/>
  <c r="L10" i="9"/>
  <c r="O11" i="13"/>
  <c r="L11" i="13"/>
  <c r="O10" i="13"/>
  <c r="L10" i="13"/>
  <c r="O11" i="12"/>
  <c r="L11" i="12"/>
  <c r="O10" i="12"/>
  <c r="L10" i="12"/>
  <c r="O11" i="14"/>
  <c r="L11" i="14"/>
  <c r="O10" i="14"/>
  <c r="O11" i="11"/>
  <c r="L11" i="11"/>
  <c r="O10" i="11"/>
  <c r="L10" i="11"/>
  <c r="O9" i="8"/>
  <c r="L9" i="8"/>
  <c r="O9" i="9"/>
  <c r="L9" i="9"/>
  <c r="O9" i="13"/>
  <c r="L9" i="13"/>
  <c r="O9" i="12"/>
  <c r="L9" i="12"/>
  <c r="O9" i="14"/>
  <c r="L9" i="14"/>
  <c r="O9" i="11"/>
  <c r="L9" i="11"/>
  <c r="J46" i="2"/>
  <c r="I46" i="2"/>
  <c r="J40" i="2"/>
  <c r="J11" i="7"/>
  <c r="J39" i="2"/>
  <c r="I39" i="2"/>
  <c r="J45" i="2"/>
  <c r="I45" i="2"/>
  <c r="J38" i="2"/>
  <c r="I38" i="2"/>
  <c r="L12" i="7"/>
  <c r="L11" i="7"/>
  <c r="L10" i="7"/>
  <c r="O12" i="7"/>
  <c r="O11" i="7"/>
  <c r="O10" i="7"/>
  <c r="O48" i="2"/>
  <c r="O14" i="7"/>
  <c r="J14" i="7" s="1"/>
  <c r="O13" i="11"/>
  <c r="J13" i="11" s="1"/>
  <c r="O13" i="14"/>
  <c r="O13" i="12"/>
  <c r="O13" i="13"/>
  <c r="J13" i="13" s="1"/>
  <c r="O13" i="9"/>
  <c r="J13" i="9" s="1"/>
  <c r="O13" i="8"/>
  <c r="J13" i="8"/>
  <c r="O46" i="6"/>
  <c r="O45" i="6"/>
  <c r="L46" i="6"/>
  <c r="I48" i="2"/>
  <c r="I14" i="7"/>
  <c r="I13" i="11"/>
  <c r="I13" i="14"/>
  <c r="I13" i="12"/>
  <c r="I13" i="13"/>
  <c r="J48" i="2"/>
  <c r="J13" i="14"/>
  <c r="J13" i="12"/>
  <c r="I13" i="9"/>
  <c r="I13" i="8"/>
  <c r="L48" i="2"/>
  <c r="L14" i="7"/>
  <c r="L13" i="11"/>
  <c r="L13" i="14"/>
  <c r="L13" i="12"/>
  <c r="L13" i="13"/>
  <c r="L13" i="9"/>
  <c r="L13" i="8"/>
  <c r="J49" i="6"/>
  <c r="I48" i="6"/>
  <c r="L48" i="6"/>
  <c r="J37" i="10"/>
  <c r="J36" i="10"/>
  <c r="J35" i="10"/>
  <c r="J34" i="10"/>
  <c r="J31" i="10"/>
  <c r="J29" i="10"/>
  <c r="J28" i="10"/>
  <c r="J27" i="10"/>
  <c r="J26" i="10"/>
  <c r="J25" i="10"/>
  <c r="J24" i="10"/>
  <c r="J23" i="10"/>
  <c r="J22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80" i="2"/>
  <c r="J47" i="7"/>
  <c r="J53" i="11"/>
  <c r="J53" i="14"/>
  <c r="J53" i="12"/>
  <c r="J53" i="13"/>
  <c r="I80" i="2"/>
  <c r="I47" i="7"/>
  <c r="I53" i="11"/>
  <c r="I53" i="14"/>
  <c r="I53" i="12"/>
  <c r="I53" i="13"/>
  <c r="I53" i="9"/>
  <c r="J53" i="9"/>
  <c r="J53" i="8"/>
  <c r="I53" i="8"/>
  <c r="J100" i="3"/>
  <c r="L100" i="3"/>
  <c r="Q80" i="2"/>
  <c r="O80" i="2"/>
  <c r="L80" i="2"/>
  <c r="Q47" i="7"/>
  <c r="O47" i="7"/>
  <c r="L47" i="7"/>
  <c r="Q53" i="11"/>
  <c r="O53" i="11"/>
  <c r="L53" i="11"/>
  <c r="Q53" i="14"/>
  <c r="O53" i="14"/>
  <c r="L53" i="14"/>
  <c r="Q53" i="12"/>
  <c r="O53" i="12"/>
  <c r="L53" i="12"/>
  <c r="Q53" i="13"/>
  <c r="O53" i="13"/>
  <c r="L53" i="13"/>
  <c r="Q53" i="9"/>
  <c r="O53" i="9"/>
  <c r="L53" i="9"/>
  <c r="Q53" i="8"/>
  <c r="O53" i="8"/>
  <c r="L53" i="8"/>
  <c r="Q89" i="6"/>
  <c r="J89" i="6" s="1"/>
  <c r="O89" i="6"/>
  <c r="L89" i="6"/>
  <c r="I89" i="6"/>
  <c r="I100" i="3"/>
  <c r="Q100" i="3"/>
  <c r="O100" i="3"/>
  <c r="J81" i="2"/>
  <c r="J48" i="7"/>
  <c r="J54" i="11"/>
  <c r="J54" i="14"/>
  <c r="J54" i="12"/>
  <c r="J54" i="13"/>
  <c r="J54" i="9"/>
  <c r="I81" i="2"/>
  <c r="I48" i="7"/>
  <c r="I54" i="11"/>
  <c r="I54" i="14"/>
  <c r="I54" i="12"/>
  <c r="I54" i="13"/>
  <c r="I54" i="9"/>
  <c r="L81" i="2"/>
  <c r="O81" i="2"/>
  <c r="O48" i="7"/>
  <c r="L48" i="7"/>
  <c r="O54" i="11"/>
  <c r="L54" i="11"/>
  <c r="O54" i="14"/>
  <c r="L54" i="14"/>
  <c r="O54" i="12"/>
  <c r="L54" i="12"/>
  <c r="O54" i="13"/>
  <c r="L54" i="13"/>
  <c r="O54" i="9"/>
  <c r="L54" i="9"/>
  <c r="J54" i="8"/>
  <c r="I54" i="8"/>
  <c r="L54" i="8"/>
  <c r="O54" i="8"/>
  <c r="J90" i="6"/>
  <c r="I90" i="6"/>
  <c r="O90" i="6"/>
  <c r="L90" i="6"/>
  <c r="L101" i="3"/>
  <c r="L63" i="3"/>
  <c r="O101" i="3"/>
  <c r="I15" i="3"/>
  <c r="N79" i="2"/>
  <c r="P79" i="2"/>
  <c r="L79" i="2"/>
  <c r="N46" i="7"/>
  <c r="P46" i="7"/>
  <c r="L46" i="7"/>
  <c r="P52" i="11"/>
  <c r="N52" i="11"/>
  <c r="L52" i="11"/>
  <c r="P52" i="14"/>
  <c r="N52" i="14"/>
  <c r="L52" i="14"/>
  <c r="P52" i="12"/>
  <c r="N52" i="12"/>
  <c r="L52" i="12"/>
  <c r="N52" i="13"/>
  <c r="L52" i="13"/>
  <c r="P52" i="13"/>
  <c r="N52" i="9"/>
  <c r="L52" i="9"/>
  <c r="P52" i="9"/>
  <c r="P52" i="8"/>
  <c r="N52" i="8"/>
  <c r="L52" i="8"/>
  <c r="N88" i="6"/>
  <c r="L88" i="6"/>
  <c r="P88" i="6"/>
  <c r="P98" i="3"/>
  <c r="I99" i="3"/>
  <c r="N99" i="3"/>
  <c r="R99" i="3"/>
  <c r="P99" i="3"/>
  <c r="L99" i="3"/>
  <c r="R98" i="3"/>
  <c r="I44" i="2"/>
  <c r="I43" i="2"/>
  <c r="I42" i="2"/>
  <c r="I41" i="2"/>
  <c r="I40" i="2"/>
  <c r="I63" i="2"/>
  <c r="L46" i="2"/>
  <c r="L40" i="2"/>
  <c r="L41" i="2"/>
  <c r="L42" i="2"/>
  <c r="L43" i="2"/>
  <c r="L44" i="2"/>
  <c r="L45" i="2"/>
  <c r="L39" i="2"/>
  <c r="L38" i="2"/>
  <c r="L63" i="2"/>
  <c r="L50" i="2"/>
  <c r="J44" i="2"/>
  <c r="J43" i="2"/>
  <c r="J42" i="2"/>
  <c r="J41" i="2"/>
  <c r="O39" i="2"/>
  <c r="O40" i="2"/>
  <c r="O41" i="2"/>
  <c r="O42" i="2"/>
  <c r="O43" i="2"/>
  <c r="O44" i="2"/>
  <c r="O45" i="2"/>
  <c r="O46" i="2"/>
  <c r="O38" i="2"/>
  <c r="J50" i="2"/>
  <c r="J63" i="2"/>
  <c r="O63" i="2"/>
  <c r="J61" i="2"/>
  <c r="J25" i="5"/>
  <c r="L61" i="2"/>
  <c r="O25" i="5"/>
  <c r="O26" i="5"/>
  <c r="L26" i="5"/>
  <c r="L25" i="5"/>
  <c r="I25" i="5"/>
  <c r="I23" i="5"/>
  <c r="L22" i="5"/>
  <c r="L21" i="5"/>
  <c r="L20" i="5"/>
  <c r="L19" i="5"/>
  <c r="L18" i="5"/>
  <c r="L17" i="5"/>
  <c r="L16" i="5"/>
  <c r="L15" i="5"/>
  <c r="J23" i="5"/>
  <c r="J22" i="5"/>
  <c r="J21" i="5"/>
  <c r="J20" i="5"/>
  <c r="J19" i="5"/>
  <c r="J18" i="5"/>
  <c r="J17" i="5"/>
  <c r="J16" i="5"/>
  <c r="J15" i="5"/>
  <c r="O16" i="5"/>
  <c r="O17" i="5"/>
  <c r="O18" i="5"/>
  <c r="O19" i="5"/>
  <c r="O20" i="5"/>
  <c r="O21" i="5"/>
  <c r="O22" i="5"/>
  <c r="O23" i="5"/>
  <c r="O15" i="5"/>
  <c r="I22" i="5"/>
  <c r="I21" i="5"/>
  <c r="I20" i="5"/>
  <c r="I19" i="5"/>
  <c r="I18" i="5"/>
  <c r="I17" i="5"/>
  <c r="I16" i="5"/>
  <c r="I15" i="5"/>
  <c r="L23" i="5"/>
  <c r="L59" i="2"/>
  <c r="I59" i="2"/>
  <c r="J57" i="2"/>
  <c r="J56" i="2"/>
  <c r="J55" i="2"/>
  <c r="J54" i="2"/>
  <c r="P54" i="2"/>
  <c r="J53" i="2"/>
  <c r="J52" i="2"/>
  <c r="J51" i="2"/>
  <c r="P51" i="2"/>
  <c r="J16" i="7"/>
  <c r="J59" i="2"/>
  <c r="S51" i="2"/>
  <c r="S52" i="2"/>
  <c r="S53" i="2"/>
  <c r="S54" i="2"/>
  <c r="S55" i="2"/>
  <c r="S56" i="2"/>
  <c r="S57" i="2"/>
  <c r="W51" i="2"/>
  <c r="W52" i="2"/>
  <c r="W53" i="2"/>
  <c r="W54" i="2"/>
  <c r="W55" i="2"/>
  <c r="W56" i="2"/>
  <c r="W57" i="2"/>
  <c r="W50" i="2"/>
  <c r="S50" i="2"/>
  <c r="O51" i="2"/>
  <c r="O52" i="2"/>
  <c r="O53" i="2"/>
  <c r="O54" i="2"/>
  <c r="O55" i="2"/>
  <c r="O56" i="2"/>
  <c r="O57" i="2"/>
  <c r="O50" i="2"/>
  <c r="I57" i="2"/>
  <c r="T57" i="2"/>
  <c r="P57" i="2"/>
  <c r="L57" i="2"/>
  <c r="I56" i="2"/>
  <c r="P56" i="2"/>
  <c r="L56" i="2"/>
  <c r="I55" i="2"/>
  <c r="I54" i="2"/>
  <c r="P55" i="2"/>
  <c r="L55" i="2"/>
  <c r="T54" i="2"/>
  <c r="L54" i="2"/>
  <c r="I53" i="2"/>
  <c r="P53" i="2"/>
  <c r="L53" i="2"/>
  <c r="I52" i="2"/>
  <c r="P52" i="2"/>
  <c r="L52" i="2"/>
  <c r="I51" i="2"/>
  <c r="L51" i="2"/>
  <c r="I50" i="2"/>
  <c r="T50" i="2"/>
  <c r="P50" i="2"/>
  <c r="L27" i="13"/>
  <c r="L28" i="13"/>
  <c r="L27" i="12"/>
  <c r="L28" i="12"/>
  <c r="L27" i="14"/>
  <c r="L28" i="14"/>
  <c r="L27" i="11"/>
  <c r="L28" i="11"/>
  <c r="L28" i="7"/>
  <c r="L29" i="7"/>
  <c r="L60" i="2"/>
  <c r="L27" i="7"/>
  <c r="L26" i="11"/>
  <c r="L26" i="14"/>
  <c r="L26" i="12"/>
  <c r="L26" i="13"/>
  <c r="L26" i="9"/>
  <c r="L27" i="9"/>
  <c r="L28" i="9"/>
  <c r="L26" i="8"/>
  <c r="L27" i="8"/>
  <c r="L28" i="8"/>
  <c r="L57" i="6"/>
  <c r="L58" i="6"/>
  <c r="L59" i="6"/>
  <c r="I57" i="6"/>
  <c r="J60" i="2"/>
  <c r="J29" i="7"/>
  <c r="J28" i="7"/>
  <c r="J27" i="7"/>
  <c r="J28" i="11"/>
  <c r="J27" i="11"/>
  <c r="J26" i="11"/>
  <c r="J28" i="14"/>
  <c r="J27" i="14"/>
  <c r="J26" i="14"/>
  <c r="J28" i="12"/>
  <c r="J27" i="12"/>
  <c r="J26" i="12"/>
  <c r="J28" i="13"/>
  <c r="J27" i="13"/>
  <c r="J26" i="13"/>
  <c r="J26" i="9"/>
  <c r="J28" i="9"/>
  <c r="J27" i="9"/>
  <c r="J26" i="8"/>
  <c r="J27" i="8"/>
  <c r="J28" i="8"/>
  <c r="J57" i="6"/>
  <c r="J59" i="6"/>
  <c r="J58" i="6"/>
  <c r="J62" i="3"/>
  <c r="O60" i="2"/>
  <c r="O61" i="2"/>
  <c r="O59" i="2"/>
  <c r="O28" i="7"/>
  <c r="O29" i="7"/>
  <c r="O27" i="7"/>
  <c r="O27" i="11"/>
  <c r="O28" i="11"/>
  <c r="O26" i="11"/>
  <c r="O27" i="14"/>
  <c r="O28" i="14"/>
  <c r="O26" i="14"/>
  <c r="O27" i="12"/>
  <c r="O28" i="12"/>
  <c r="O26" i="12"/>
  <c r="O27" i="13"/>
  <c r="O28" i="13"/>
  <c r="O26" i="13"/>
  <c r="O28" i="9"/>
  <c r="O27" i="9"/>
  <c r="O26" i="9"/>
  <c r="O27" i="8"/>
  <c r="O28" i="8"/>
  <c r="O26" i="8"/>
  <c r="O59" i="6"/>
  <c r="O58" i="6"/>
  <c r="O57" i="6"/>
  <c r="O62" i="3"/>
  <c r="O63" i="3"/>
  <c r="O61" i="3"/>
  <c r="J59" i="3"/>
  <c r="I25" i="7"/>
  <c r="I24" i="7"/>
  <c r="I23" i="7"/>
  <c r="I22" i="7"/>
  <c r="I21" i="7"/>
  <c r="I20" i="7"/>
  <c r="I19" i="7"/>
  <c r="I18" i="7"/>
  <c r="I17" i="7"/>
  <c r="I16" i="7"/>
  <c r="I24" i="9"/>
  <c r="I24" i="8" s="1"/>
  <c r="I23" i="9"/>
  <c r="I23" i="13" s="1"/>
  <c r="I15" i="9"/>
  <c r="I15" i="8" s="1"/>
  <c r="I55" i="6"/>
  <c r="I22" i="9" s="1"/>
  <c r="I54" i="6"/>
  <c r="I53" i="6"/>
  <c r="I20" i="9" s="1"/>
  <c r="I52" i="6"/>
  <c r="I51" i="6"/>
  <c r="I50" i="6"/>
  <c r="I49" i="6"/>
  <c r="I59" i="3"/>
  <c r="I58" i="3"/>
  <c r="I57" i="3"/>
  <c r="I56" i="3"/>
  <c r="I55" i="3"/>
  <c r="I54" i="3"/>
  <c r="I53" i="3"/>
  <c r="I52" i="3"/>
  <c r="I14" i="3"/>
  <c r="I13" i="3"/>
  <c r="I12" i="3"/>
  <c r="I11" i="3"/>
  <c r="I10" i="3"/>
  <c r="I9" i="3"/>
  <c r="I8" i="3"/>
  <c r="J8" i="3"/>
  <c r="I61" i="2"/>
  <c r="I60" i="2"/>
  <c r="I29" i="7"/>
  <c r="I28" i="7"/>
  <c r="I27" i="7"/>
  <c r="I28" i="11"/>
  <c r="I27" i="11"/>
  <c r="I26" i="11"/>
  <c r="I28" i="14"/>
  <c r="I27" i="14"/>
  <c r="I26" i="14"/>
  <c r="I28" i="12"/>
  <c r="I27" i="12"/>
  <c r="I26" i="12"/>
  <c r="I28" i="13"/>
  <c r="I27" i="13"/>
  <c r="I26" i="13"/>
  <c r="I28" i="9"/>
  <c r="I27" i="9"/>
  <c r="I26" i="9"/>
  <c r="I27" i="8"/>
  <c r="I26" i="8"/>
  <c r="I59" i="6"/>
  <c r="I58" i="6"/>
  <c r="I62" i="3"/>
  <c r="L62" i="3"/>
  <c r="L15" i="9"/>
  <c r="J16" i="11"/>
  <c r="J17" i="11"/>
  <c r="J18" i="11"/>
  <c r="J19" i="11"/>
  <c r="J20" i="11"/>
  <c r="J21" i="11"/>
  <c r="J22" i="11"/>
  <c r="J23" i="11"/>
  <c r="J24" i="11"/>
  <c r="J15" i="11"/>
  <c r="I15" i="11"/>
  <c r="J16" i="14"/>
  <c r="J17" i="14"/>
  <c r="J18" i="14"/>
  <c r="J19" i="14"/>
  <c r="J20" i="14"/>
  <c r="J21" i="14"/>
  <c r="J22" i="14"/>
  <c r="I23" i="14"/>
  <c r="J23" i="14"/>
  <c r="J24" i="14"/>
  <c r="J15" i="14"/>
  <c r="I16" i="12"/>
  <c r="J16" i="12"/>
  <c r="J17" i="12"/>
  <c r="I18" i="12"/>
  <c r="J18" i="12"/>
  <c r="J19" i="12"/>
  <c r="J20" i="12"/>
  <c r="J21" i="12"/>
  <c r="J22" i="12"/>
  <c r="J23" i="12"/>
  <c r="J24" i="12"/>
  <c r="J15" i="12"/>
  <c r="J16" i="13"/>
  <c r="J17" i="13"/>
  <c r="J18" i="13"/>
  <c r="J19" i="13"/>
  <c r="J20" i="13"/>
  <c r="J21" i="13"/>
  <c r="J22" i="13"/>
  <c r="J23" i="13"/>
  <c r="J24" i="13"/>
  <c r="J15" i="13"/>
  <c r="I15" i="13"/>
  <c r="J16" i="8"/>
  <c r="J17" i="8"/>
  <c r="J18" i="8"/>
  <c r="J19" i="8"/>
  <c r="J20" i="8"/>
  <c r="J21" i="8"/>
  <c r="J22" i="8"/>
  <c r="J23" i="8"/>
  <c r="J24" i="8"/>
  <c r="I18" i="8"/>
  <c r="J15" i="8"/>
  <c r="O23" i="7"/>
  <c r="J23" i="7" s="1"/>
  <c r="O22" i="7"/>
  <c r="J22" i="7"/>
  <c r="J21" i="7"/>
  <c r="O21" i="7"/>
  <c r="J20" i="7"/>
  <c r="O20" i="7"/>
  <c r="J19" i="7"/>
  <c r="O19" i="7"/>
  <c r="O18" i="7"/>
  <c r="J18" i="7"/>
  <c r="O17" i="7"/>
  <c r="J17" i="7"/>
  <c r="L23" i="7"/>
  <c r="L22" i="7"/>
  <c r="L21" i="7"/>
  <c r="L20" i="7"/>
  <c r="L19" i="7"/>
  <c r="L18" i="7"/>
  <c r="L17" i="7"/>
  <c r="J25" i="7"/>
  <c r="J24" i="7"/>
  <c r="J15" i="9"/>
  <c r="L24" i="7"/>
  <c r="L25" i="7"/>
  <c r="L16" i="7"/>
  <c r="O25" i="7"/>
  <c r="O24" i="7"/>
  <c r="O16" i="7"/>
  <c r="L24" i="9"/>
  <c r="L23" i="9"/>
  <c r="J24" i="9"/>
  <c r="J23" i="9"/>
  <c r="O15" i="9"/>
  <c r="O24" i="9"/>
  <c r="O23" i="9"/>
  <c r="J22" i="9"/>
  <c r="J17" i="9"/>
  <c r="J18" i="9"/>
  <c r="J19" i="9"/>
  <c r="J20" i="9"/>
  <c r="J21" i="9"/>
  <c r="I17" i="9"/>
  <c r="I17" i="11" s="1"/>
  <c r="I18" i="9"/>
  <c r="I18" i="13" s="1"/>
  <c r="I19" i="9"/>
  <c r="I19" i="12" s="1"/>
  <c r="I21" i="9"/>
  <c r="I21" i="11" s="1"/>
  <c r="J16" i="9"/>
  <c r="I16" i="9"/>
  <c r="I16" i="14" s="1"/>
  <c r="J48" i="6"/>
  <c r="W24" i="9"/>
  <c r="O55" i="6"/>
  <c r="J55" i="6"/>
  <c r="O54" i="6"/>
  <c r="J54" i="6" s="1"/>
  <c r="J53" i="6"/>
  <c r="O53" i="6"/>
  <c r="S52" i="6"/>
  <c r="U52" i="6"/>
  <c r="W52" i="6"/>
  <c r="Q52" i="6"/>
  <c r="O52" i="6"/>
  <c r="J51" i="6"/>
  <c r="O51" i="6"/>
  <c r="O50" i="6"/>
  <c r="J50" i="6" s="1"/>
  <c r="O49" i="6"/>
  <c r="O48" i="6"/>
  <c r="L55" i="6"/>
  <c r="L54" i="6"/>
  <c r="L53" i="6"/>
  <c r="L52" i="6"/>
  <c r="L51" i="6"/>
  <c r="L50" i="6"/>
  <c r="L49" i="6"/>
  <c r="L52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7" i="3"/>
  <c r="L16" i="3"/>
  <c r="L18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16" i="3"/>
  <c r="L55" i="3"/>
  <c r="O55" i="3"/>
  <c r="O57" i="3"/>
  <c r="L57" i="3"/>
  <c r="L53" i="3"/>
  <c r="O53" i="3"/>
  <c r="O59" i="3"/>
  <c r="L59" i="3"/>
  <c r="L56" i="3"/>
  <c r="L54" i="3"/>
  <c r="L58" i="3"/>
  <c r="O54" i="3"/>
  <c r="O56" i="3"/>
  <c r="O58" i="3"/>
  <c r="O52" i="3"/>
  <c r="L10" i="3"/>
  <c r="L9" i="3"/>
  <c r="L12" i="3"/>
  <c r="L14" i="3"/>
  <c r="L13" i="3"/>
  <c r="L15" i="3"/>
  <c r="O9" i="3"/>
  <c r="O10" i="3"/>
  <c r="O12" i="3"/>
  <c r="O13" i="3"/>
  <c r="O14" i="3"/>
  <c r="O15" i="3"/>
  <c r="L11" i="3"/>
  <c r="L8" i="3"/>
  <c r="O11" i="3"/>
  <c r="O8" i="3"/>
  <c r="T3" i="10"/>
  <c r="V3" i="5"/>
  <c r="U3" i="5"/>
  <c r="S3" i="5"/>
  <c r="R3" i="5"/>
  <c r="Q3" i="5"/>
  <c r="P3" i="5"/>
  <c r="O3" i="5"/>
  <c r="V2" i="5"/>
  <c r="U2" i="5"/>
  <c r="T2" i="5"/>
  <c r="S2" i="5"/>
  <c r="R2" i="5"/>
  <c r="Q2" i="5"/>
  <c r="P2" i="5"/>
  <c r="O2" i="5"/>
  <c r="V3" i="2"/>
  <c r="U3" i="2"/>
  <c r="S3" i="2"/>
  <c r="R3" i="2"/>
  <c r="Q3" i="2"/>
  <c r="P3" i="2"/>
  <c r="O3" i="2"/>
  <c r="V2" i="2"/>
  <c r="U2" i="2"/>
  <c r="T2" i="2"/>
  <c r="S2" i="2"/>
  <c r="R2" i="2"/>
  <c r="Q2" i="2"/>
  <c r="P2" i="2"/>
  <c r="O2" i="2"/>
  <c r="V3" i="7"/>
  <c r="U3" i="7"/>
  <c r="S3" i="7"/>
  <c r="R3" i="7"/>
  <c r="Q3" i="7"/>
  <c r="P3" i="7"/>
  <c r="O3" i="7"/>
  <c r="V2" i="7"/>
  <c r="U2" i="7"/>
  <c r="T2" i="7"/>
  <c r="S2" i="7"/>
  <c r="R2" i="7"/>
  <c r="Q2" i="7"/>
  <c r="P2" i="7"/>
  <c r="O2" i="7"/>
  <c r="V3" i="11"/>
  <c r="U3" i="11"/>
  <c r="S3" i="11"/>
  <c r="R3" i="11"/>
  <c r="Q3" i="11"/>
  <c r="P3" i="11"/>
  <c r="O3" i="11"/>
  <c r="V2" i="11"/>
  <c r="U2" i="11"/>
  <c r="T2" i="11"/>
  <c r="S2" i="11"/>
  <c r="R2" i="11"/>
  <c r="Q2" i="11"/>
  <c r="P2" i="11"/>
  <c r="O2" i="11"/>
  <c r="V3" i="14"/>
  <c r="U3" i="14"/>
  <c r="S3" i="14"/>
  <c r="R3" i="14"/>
  <c r="Q3" i="14"/>
  <c r="P3" i="14"/>
  <c r="O3" i="14"/>
  <c r="V2" i="14"/>
  <c r="U2" i="14"/>
  <c r="T2" i="14"/>
  <c r="S2" i="14"/>
  <c r="R2" i="14"/>
  <c r="Q2" i="14"/>
  <c r="P2" i="14"/>
  <c r="O2" i="14"/>
  <c r="V3" i="12"/>
  <c r="U3" i="12"/>
  <c r="S3" i="12"/>
  <c r="R3" i="12"/>
  <c r="Q3" i="12"/>
  <c r="P3" i="12"/>
  <c r="O3" i="12"/>
  <c r="V2" i="12"/>
  <c r="U2" i="12"/>
  <c r="T2" i="12"/>
  <c r="S2" i="12"/>
  <c r="R2" i="12"/>
  <c r="Q2" i="12"/>
  <c r="P2" i="12"/>
  <c r="O2" i="12"/>
  <c r="V3" i="13"/>
  <c r="U3" i="13"/>
  <c r="S3" i="13"/>
  <c r="R3" i="13"/>
  <c r="Q3" i="13"/>
  <c r="P3" i="13"/>
  <c r="O3" i="13"/>
  <c r="V2" i="13"/>
  <c r="U2" i="13"/>
  <c r="T2" i="13"/>
  <c r="S2" i="13"/>
  <c r="R2" i="13"/>
  <c r="Q2" i="13"/>
  <c r="P2" i="13"/>
  <c r="O2" i="13"/>
  <c r="V3" i="9"/>
  <c r="U3" i="9"/>
  <c r="S3" i="9"/>
  <c r="R3" i="9"/>
  <c r="Q3" i="9"/>
  <c r="P3" i="9"/>
  <c r="O3" i="9"/>
  <c r="V2" i="9"/>
  <c r="U2" i="9"/>
  <c r="T2" i="9"/>
  <c r="S2" i="9"/>
  <c r="R2" i="9"/>
  <c r="Q2" i="9"/>
  <c r="P2" i="9"/>
  <c r="O2" i="9"/>
  <c r="V3" i="8"/>
  <c r="U3" i="8"/>
  <c r="S3" i="8"/>
  <c r="R3" i="8"/>
  <c r="Q3" i="8"/>
  <c r="P3" i="8"/>
  <c r="O3" i="8"/>
  <c r="V2" i="8"/>
  <c r="U2" i="8"/>
  <c r="T2" i="8"/>
  <c r="S2" i="8"/>
  <c r="R2" i="8"/>
  <c r="Q2" i="8"/>
  <c r="P2" i="8"/>
  <c r="O2" i="8"/>
  <c r="V3" i="6"/>
  <c r="U3" i="6"/>
  <c r="S3" i="6"/>
  <c r="R3" i="6"/>
  <c r="Q3" i="6"/>
  <c r="P3" i="6"/>
  <c r="O3" i="6"/>
  <c r="V2" i="6"/>
  <c r="U2" i="6"/>
  <c r="T2" i="6"/>
  <c r="S2" i="6"/>
  <c r="R2" i="6"/>
  <c r="Q2" i="6"/>
  <c r="P2" i="6"/>
  <c r="O2" i="6"/>
  <c r="O3" i="3"/>
  <c r="P3" i="3"/>
  <c r="Q3" i="3"/>
  <c r="R3" i="3"/>
  <c r="S3" i="3"/>
  <c r="U3" i="3"/>
  <c r="V3" i="3"/>
  <c r="U2" i="3"/>
  <c r="V2" i="3"/>
  <c r="P2" i="3"/>
  <c r="Q2" i="3"/>
  <c r="R2" i="3"/>
  <c r="S2" i="3"/>
  <c r="T2" i="3"/>
  <c r="O2" i="3"/>
  <c r="V3" i="10"/>
  <c r="U3" i="10"/>
  <c r="S3" i="10"/>
  <c r="R3" i="10"/>
  <c r="Q3" i="10"/>
  <c r="P3" i="10"/>
  <c r="O3" i="10"/>
  <c r="G34" i="10"/>
  <c r="G37" i="10"/>
  <c r="J57" i="11" l="1"/>
  <c r="J57" i="12"/>
  <c r="J57" i="9"/>
  <c r="J57" i="8"/>
  <c r="I24" i="11"/>
  <c r="I24" i="12"/>
  <c r="I24" i="13"/>
  <c r="I24" i="14"/>
  <c r="I23" i="12"/>
  <c r="I23" i="8"/>
  <c r="I57" i="8" s="1"/>
  <c r="I23" i="11"/>
  <c r="I15" i="12"/>
  <c r="I15" i="14"/>
  <c r="I22" i="13"/>
  <c r="I22" i="11"/>
  <c r="I22" i="8"/>
  <c r="I22" i="12"/>
  <c r="I22" i="14"/>
  <c r="I21" i="14"/>
  <c r="I21" i="8"/>
  <c r="I21" i="13"/>
  <c r="I21" i="12"/>
  <c r="I20" i="12"/>
  <c r="I20" i="8"/>
  <c r="I20" i="13"/>
  <c r="I20" i="11"/>
  <c r="I20" i="14"/>
  <c r="I19" i="13"/>
  <c r="I19" i="11"/>
  <c r="I19" i="8"/>
  <c r="I19" i="14"/>
  <c r="I18" i="14"/>
  <c r="I18" i="11"/>
  <c r="I17" i="12"/>
  <c r="I17" i="14"/>
  <c r="I17" i="8"/>
  <c r="I17" i="13"/>
  <c r="I16" i="11"/>
  <c r="I16" i="8"/>
  <c r="I16" i="13"/>
  <c r="I57" i="9"/>
  <c r="I95" i="6"/>
  <c r="J52" i="6"/>
  <c r="I38" i="10"/>
  <c r="T3" i="14"/>
  <c r="T3" i="2"/>
  <c r="T3" i="6"/>
  <c r="T3" i="9"/>
  <c r="T3" i="12"/>
  <c r="T3" i="7"/>
  <c r="T3" i="3"/>
  <c r="T3" i="8"/>
  <c r="T3" i="13"/>
  <c r="T3" i="11"/>
  <c r="T3" i="5"/>
  <c r="J95" i="6" l="1"/>
  <c r="J54" i="3"/>
  <c r="J58" i="3"/>
  <c r="J14" i="3"/>
  <c r="J57" i="3"/>
  <c r="J56" i="3"/>
  <c r="J15" i="3"/>
  <c r="J52" i="3"/>
  <c r="J53" i="3"/>
  <c r="J10" i="3"/>
  <c r="J55" i="3"/>
  <c r="J9" i="3"/>
  <c r="J13" i="3"/>
  <c r="J12" i="3"/>
  <c r="J11" i="3"/>
</calcChain>
</file>

<file path=xl/sharedStrings.xml><?xml version="1.0" encoding="utf-8"?>
<sst xmlns="http://schemas.openxmlformats.org/spreadsheetml/2006/main" count="2514" uniqueCount="665">
  <si>
    <t>NAZWA ELEMENTU</t>
  </si>
  <si>
    <t>DŁUGOŚĆ L [m]</t>
  </si>
  <si>
    <t>OZNACZENIE ELEMENTU</t>
  </si>
  <si>
    <t>WYKAZ PROJEKTOWANYCH ELEMENTÓW</t>
  </si>
  <si>
    <t>MATERIAŁ</t>
  </si>
  <si>
    <t>WYMIARY ELEMENTU [cm]</t>
  </si>
  <si>
    <t>ILOŚĆ [szt]</t>
  </si>
  <si>
    <t>podciąg</t>
  </si>
  <si>
    <t>-</t>
  </si>
  <si>
    <t>beton C30/37</t>
  </si>
  <si>
    <t>słup</t>
  </si>
  <si>
    <t>9 PIETRO</t>
  </si>
  <si>
    <t>PARTER</t>
  </si>
  <si>
    <t>PIWNICA</t>
  </si>
  <si>
    <t>9/SC1/F</t>
  </si>
  <si>
    <t>ściana żelbetowa</t>
  </si>
  <si>
    <t>gr. 25</t>
  </si>
  <si>
    <t>płyta stropowa</t>
  </si>
  <si>
    <t>9/PŁ1</t>
  </si>
  <si>
    <t>9/PŁ2</t>
  </si>
  <si>
    <t>gr. 18</t>
  </si>
  <si>
    <t>9/SC2/G</t>
  </si>
  <si>
    <t>9/SC3/H</t>
  </si>
  <si>
    <t>9/SC4/K</t>
  </si>
  <si>
    <t>9/SC5/11</t>
  </si>
  <si>
    <t>9/SC6/9</t>
  </si>
  <si>
    <t>9/SC7/8</t>
  </si>
  <si>
    <t>9/SC8/7</t>
  </si>
  <si>
    <t>9/SC9/5</t>
  </si>
  <si>
    <t>P/NP1</t>
  </si>
  <si>
    <t>40x70</t>
  </si>
  <si>
    <t>P/P1/4</t>
  </si>
  <si>
    <t>P/P2/6</t>
  </si>
  <si>
    <t>P/P15/6</t>
  </si>
  <si>
    <t>P/P3/10</t>
  </si>
  <si>
    <t>P/P4/12</t>
  </si>
  <si>
    <t>P/P11/3</t>
  </si>
  <si>
    <t>P/P13/4</t>
  </si>
  <si>
    <t>P/P17/10</t>
  </si>
  <si>
    <t>P/P19/12</t>
  </si>
  <si>
    <t>P/P26/B</t>
  </si>
  <si>
    <t>P/P21/13</t>
  </si>
  <si>
    <t>P/P25/B</t>
  </si>
  <si>
    <t>P/P36/L</t>
  </si>
  <si>
    <t>P/B1</t>
  </si>
  <si>
    <t>P/B2</t>
  </si>
  <si>
    <t>P/B3</t>
  </si>
  <si>
    <t>P/B4</t>
  </si>
  <si>
    <t>P/B5</t>
  </si>
  <si>
    <t>P/B6</t>
  </si>
  <si>
    <t>P/B7</t>
  </si>
  <si>
    <t>P/B8</t>
  </si>
  <si>
    <t>belka obwodowa</t>
  </si>
  <si>
    <t>40x130</t>
  </si>
  <si>
    <t>P/SCH1</t>
  </si>
  <si>
    <t>P/SCH2</t>
  </si>
  <si>
    <t>schody żelbetowe</t>
  </si>
  <si>
    <t>P/PŁ1</t>
  </si>
  <si>
    <t>P/PŁ2</t>
  </si>
  <si>
    <t>P/PŁ3</t>
  </si>
  <si>
    <t>gr. 24</t>
  </si>
  <si>
    <t>P/Ż1</t>
  </si>
  <si>
    <t>P/Ż2</t>
  </si>
  <si>
    <t>żebro</t>
  </si>
  <si>
    <t>25x30</t>
  </si>
  <si>
    <t>gr. 30</t>
  </si>
  <si>
    <t>⌀55</t>
  </si>
  <si>
    <t>P/P27/B</t>
  </si>
  <si>
    <t>P/P35/L</t>
  </si>
  <si>
    <t>P/SC1/F</t>
  </si>
  <si>
    <t>P/SC2/G</t>
  </si>
  <si>
    <t>P/SC3/H</t>
  </si>
  <si>
    <t>P/SC4/K</t>
  </si>
  <si>
    <t>P/SC5/11</t>
  </si>
  <si>
    <t>P/SC6/9</t>
  </si>
  <si>
    <t>P/SC7/8</t>
  </si>
  <si>
    <t>P/SC8/7</t>
  </si>
  <si>
    <t>P/SC9/5</t>
  </si>
  <si>
    <t>P/SC10/D</t>
  </si>
  <si>
    <t>P/SC11/L</t>
  </si>
  <si>
    <t>P/SC14/B''</t>
  </si>
  <si>
    <t>P/SC12/B''</t>
  </si>
  <si>
    <t>P/SC13/B''</t>
  </si>
  <si>
    <t>P/SC15/C'</t>
  </si>
  <si>
    <t>P/SC16/16</t>
  </si>
  <si>
    <t>P/SC17/P</t>
  </si>
  <si>
    <t>P/SC18/1</t>
  </si>
  <si>
    <t>P/SC19/A</t>
  </si>
  <si>
    <t>55x100</t>
  </si>
  <si>
    <t>40x80</t>
  </si>
  <si>
    <t>40x184</t>
  </si>
  <si>
    <t>55x184</t>
  </si>
  <si>
    <t>P/P5/E</t>
  </si>
  <si>
    <t>P/P6/I</t>
  </si>
  <si>
    <t>P/P7/L</t>
  </si>
  <si>
    <t>P/P8/M</t>
  </si>
  <si>
    <t>P/P9/2</t>
  </si>
  <si>
    <t>P/P10/3</t>
  </si>
  <si>
    <t>P/P12/4</t>
  </si>
  <si>
    <t>P/P14/6</t>
  </si>
  <si>
    <t>P/P16/10</t>
  </si>
  <si>
    <t>P/P18/12</t>
  </si>
  <si>
    <t>P/P20/13</t>
  </si>
  <si>
    <t>P/P22/14</t>
  </si>
  <si>
    <t>P/P23/15</t>
  </si>
  <si>
    <t>P/P24/B</t>
  </si>
  <si>
    <t>P/P28/E</t>
  </si>
  <si>
    <t>P/P29</t>
  </si>
  <si>
    <t>P/P30/D</t>
  </si>
  <si>
    <t>P/P31/I</t>
  </si>
  <si>
    <t>P/P32</t>
  </si>
  <si>
    <t>P/P33/J</t>
  </si>
  <si>
    <t>P/P34/L</t>
  </si>
  <si>
    <t>P/P37/M</t>
  </si>
  <si>
    <t>P/P38</t>
  </si>
  <si>
    <t>P/P39/Ł</t>
  </si>
  <si>
    <t>P/P40/N</t>
  </si>
  <si>
    <t>P/P41</t>
  </si>
  <si>
    <t>P/P42/O</t>
  </si>
  <si>
    <t>40x100</t>
  </si>
  <si>
    <t>40x40</t>
  </si>
  <si>
    <t>55x55</t>
  </si>
  <si>
    <t>P/SC20/A</t>
  </si>
  <si>
    <t>P/SC21/A'</t>
  </si>
  <si>
    <t>P/SC22/13</t>
  </si>
  <si>
    <t>0/S1/C4</t>
  </si>
  <si>
    <t>0/S1/E4</t>
  </si>
  <si>
    <t>0/S1/C6</t>
  </si>
  <si>
    <t>0/S1/M10</t>
  </si>
  <si>
    <t>0/S1/I12</t>
  </si>
  <si>
    <t>0/S1/L12</t>
  </si>
  <si>
    <t>0/S1/M12</t>
  </si>
  <si>
    <t>0/S2/C3</t>
  </si>
  <si>
    <t>0/S2/E3</t>
  </si>
  <si>
    <t>0/S2/B4</t>
  </si>
  <si>
    <t>0/S2/B6</t>
  </si>
  <si>
    <t>0/S2/I4</t>
  </si>
  <si>
    <t>0/S2/M6</t>
  </si>
  <si>
    <t>0/S2/C10</t>
  </si>
  <si>
    <t>0/S2/N10</t>
  </si>
  <si>
    <t>0/S2/E12</t>
  </si>
  <si>
    <t>0/S2/N12</t>
  </si>
  <si>
    <t>0/S2/I13</t>
  </si>
  <si>
    <t>0/S2/L13</t>
  </si>
  <si>
    <t>0/S2/M13</t>
  </si>
  <si>
    <t>0/S3/B3</t>
  </si>
  <si>
    <t>0/S3/I3</t>
  </si>
  <si>
    <t>0/S3/N6</t>
  </si>
  <si>
    <t>0/S3/B10</t>
  </si>
  <si>
    <t>0/S3/E13</t>
  </si>
  <si>
    <t>0/S3/N13</t>
  </si>
  <si>
    <t>`</t>
  </si>
  <si>
    <t>0/S1</t>
  </si>
  <si>
    <t>0/S2</t>
  </si>
  <si>
    <t>0/S3</t>
  </si>
  <si>
    <t>24x68</t>
  </si>
  <si>
    <t>0/B1</t>
  </si>
  <si>
    <t>0/B2</t>
  </si>
  <si>
    <t>0/B3</t>
  </si>
  <si>
    <t>0/B4</t>
  </si>
  <si>
    <t>0/B5</t>
  </si>
  <si>
    <t>0/B6</t>
  </si>
  <si>
    <t>0/B7</t>
  </si>
  <si>
    <t>0/B8</t>
  </si>
  <si>
    <t>0/NP1</t>
  </si>
  <si>
    <t>nadproże prefab. np. solbet</t>
  </si>
  <si>
    <t>0/NP2</t>
  </si>
  <si>
    <t>0/NP3</t>
  </si>
  <si>
    <t>0/NP4</t>
  </si>
  <si>
    <t>0/N1</t>
  </si>
  <si>
    <t>0/N2</t>
  </si>
  <si>
    <t>0/N3</t>
  </si>
  <si>
    <t>0/N4</t>
  </si>
  <si>
    <t>0/P1</t>
  </si>
  <si>
    <t>0/P2</t>
  </si>
  <si>
    <t>0/SC1/F</t>
  </si>
  <si>
    <t>0/SC2/G</t>
  </si>
  <si>
    <t>0/SC3/H</t>
  </si>
  <si>
    <t>0/SC4/K</t>
  </si>
  <si>
    <t>0/SC5/11</t>
  </si>
  <si>
    <t>0/SC6/9</t>
  </si>
  <si>
    <t>0/SC7/8</t>
  </si>
  <si>
    <t>0/SC8/7</t>
  </si>
  <si>
    <t>0/SC9/5</t>
  </si>
  <si>
    <t>0/SC10/D</t>
  </si>
  <si>
    <t>0/SC11/L</t>
  </si>
  <si>
    <t>0/PŁ1</t>
  </si>
  <si>
    <t>0/SCH1</t>
  </si>
  <si>
    <t>0/Ż1</t>
  </si>
  <si>
    <t>0/Ż2</t>
  </si>
  <si>
    <t>24x38</t>
  </si>
  <si>
    <t>80x20</t>
  </si>
  <si>
    <t>0/BL1</t>
  </si>
  <si>
    <t>balkon</t>
  </si>
  <si>
    <t>gr. 20-17</t>
  </si>
  <si>
    <t>0/BL2</t>
  </si>
  <si>
    <t>0/BL3</t>
  </si>
  <si>
    <t>0/BL4</t>
  </si>
  <si>
    <t>0/BL5</t>
  </si>
  <si>
    <t>0/BL7</t>
  </si>
  <si>
    <t>0/BL6</t>
  </si>
  <si>
    <t>8/S1/C4</t>
  </si>
  <si>
    <t>8/S1/E4</t>
  </si>
  <si>
    <t>8/S1/C6</t>
  </si>
  <si>
    <t>8/S1/M10</t>
  </si>
  <si>
    <t>8/S1/I12</t>
  </si>
  <si>
    <t>8/S1/L12</t>
  </si>
  <si>
    <t>8/S1/M12</t>
  </si>
  <si>
    <t>8/S2/C3</t>
  </si>
  <si>
    <t>8/S2/E3</t>
  </si>
  <si>
    <t>8/S2/B4</t>
  </si>
  <si>
    <t>8/S2/I4</t>
  </si>
  <si>
    <t>8/S2/B6</t>
  </si>
  <si>
    <t>8/S2/M6</t>
  </si>
  <si>
    <t>8/S2/C10</t>
  </si>
  <si>
    <t>8/S2/N10</t>
  </si>
  <si>
    <t>8/S2/E12</t>
  </si>
  <si>
    <t>8/S2/N12</t>
  </si>
  <si>
    <t>8/S2/I13</t>
  </si>
  <si>
    <t>8/S2/L13</t>
  </si>
  <si>
    <t>8/S2/M13</t>
  </si>
  <si>
    <t>8/S3/B3</t>
  </si>
  <si>
    <t>8/S3/I3</t>
  </si>
  <si>
    <t>8/S3/N6</t>
  </si>
  <si>
    <t>8/S3/B10</t>
  </si>
  <si>
    <t>8/S3/E13</t>
  </si>
  <si>
    <t>8/S3/N13</t>
  </si>
  <si>
    <t>8/S1</t>
  </si>
  <si>
    <t>8/S2</t>
  </si>
  <si>
    <t>8/S3</t>
  </si>
  <si>
    <t>8/NP1</t>
  </si>
  <si>
    <t>8/NP2</t>
  </si>
  <si>
    <t>8/N1</t>
  </si>
  <si>
    <t>8/N2</t>
  </si>
  <si>
    <t>8/N3</t>
  </si>
  <si>
    <t>8/N4</t>
  </si>
  <si>
    <t>8/N5</t>
  </si>
  <si>
    <t>8/N6</t>
  </si>
  <si>
    <t>8/N7</t>
  </si>
  <si>
    <t>8/P1</t>
  </si>
  <si>
    <t>8/B1</t>
  </si>
  <si>
    <t>8/B2</t>
  </si>
  <si>
    <t>8/B3</t>
  </si>
  <si>
    <t>8/B4</t>
  </si>
  <si>
    <t>8/B5</t>
  </si>
  <si>
    <t>8/B6</t>
  </si>
  <si>
    <t>8/B7</t>
  </si>
  <si>
    <t>8/B8</t>
  </si>
  <si>
    <t>8/SC1/F</t>
  </si>
  <si>
    <t>8/SC2/G</t>
  </si>
  <si>
    <t>8/SC3/H</t>
  </si>
  <si>
    <t>8/SC4/K</t>
  </si>
  <si>
    <t>8/SC5/11</t>
  </si>
  <si>
    <t>8/SC6/9</t>
  </si>
  <si>
    <t>8/SC7/8</t>
  </si>
  <si>
    <t>8/SC8/7</t>
  </si>
  <si>
    <t>8/SC9/5</t>
  </si>
  <si>
    <t>8/SC10/D</t>
  </si>
  <si>
    <t>8/SC11/L</t>
  </si>
  <si>
    <t>8/PŁ1</t>
  </si>
  <si>
    <t>8/SCH1</t>
  </si>
  <si>
    <t>8/Ż1</t>
  </si>
  <si>
    <t>8/Ż2</t>
  </si>
  <si>
    <t>8/T1</t>
  </si>
  <si>
    <t>24x24</t>
  </si>
  <si>
    <t>trzpień żelbetowy</t>
  </si>
  <si>
    <t>nadproże żelbetowe</t>
  </si>
  <si>
    <t>8/N8</t>
  </si>
  <si>
    <t>8/N9</t>
  </si>
  <si>
    <t>2x12x24</t>
  </si>
  <si>
    <t>25x35</t>
  </si>
  <si>
    <t>gr.15 bieg, gr.20cm spocznik</t>
  </si>
  <si>
    <t>7/NP1</t>
  </si>
  <si>
    <t>7/N1</t>
  </si>
  <si>
    <t>7/N2</t>
  </si>
  <si>
    <t>7/N3</t>
  </si>
  <si>
    <t>7/P1</t>
  </si>
  <si>
    <t>7/B1</t>
  </si>
  <si>
    <t>7/B2</t>
  </si>
  <si>
    <t>7/B3</t>
  </si>
  <si>
    <t>7/B4</t>
  </si>
  <si>
    <t>7/B5</t>
  </si>
  <si>
    <t>7/B6</t>
  </si>
  <si>
    <t>7/B7</t>
  </si>
  <si>
    <t>7/B8</t>
  </si>
  <si>
    <t>7/S1</t>
  </si>
  <si>
    <t>7/S2</t>
  </si>
  <si>
    <t>7/S3</t>
  </si>
  <si>
    <t>7/SC1/F</t>
  </si>
  <si>
    <t>7/SC2/G</t>
  </si>
  <si>
    <t>7/SC3/H</t>
  </si>
  <si>
    <t>7/SC4/K</t>
  </si>
  <si>
    <t>7/SC5/11</t>
  </si>
  <si>
    <t>7/SC6/9</t>
  </si>
  <si>
    <t>7/SC7/8</t>
  </si>
  <si>
    <t>7/SC8/7</t>
  </si>
  <si>
    <t>7/SC9/5</t>
  </si>
  <si>
    <t>7/SC10/D</t>
  </si>
  <si>
    <t>7/SC11/L</t>
  </si>
  <si>
    <t>7/PŁ1</t>
  </si>
  <si>
    <t>7/SCH1</t>
  </si>
  <si>
    <t>7/Ż1</t>
  </si>
  <si>
    <t>7/Ż2</t>
  </si>
  <si>
    <t>gr. 24-22</t>
  </si>
  <si>
    <t>7/PŁ1/ loggia</t>
  </si>
  <si>
    <t>1 piętro</t>
  </si>
  <si>
    <t>1/NP1</t>
  </si>
  <si>
    <t>1/N1</t>
  </si>
  <si>
    <t>1/N2</t>
  </si>
  <si>
    <t>1/N3</t>
  </si>
  <si>
    <t>1/P1</t>
  </si>
  <si>
    <t>1/B1</t>
  </si>
  <si>
    <t>1/B2</t>
  </si>
  <si>
    <t>1/B3</t>
  </si>
  <si>
    <t>1/B4</t>
  </si>
  <si>
    <t>1/B5</t>
  </si>
  <si>
    <t>1/B6</t>
  </si>
  <si>
    <t>1/B7</t>
  </si>
  <si>
    <t>1/B8</t>
  </si>
  <si>
    <t>1/S1</t>
  </si>
  <si>
    <t>1/S2</t>
  </si>
  <si>
    <t>1/S3</t>
  </si>
  <si>
    <t>1/SC1/F</t>
  </si>
  <si>
    <t>1/SC2/G</t>
  </si>
  <si>
    <t>1/SC3/H</t>
  </si>
  <si>
    <t>1/SC4/K</t>
  </si>
  <si>
    <t>1/SC5/11</t>
  </si>
  <si>
    <t>1/SC6/9</t>
  </si>
  <si>
    <t>1/SC7/8</t>
  </si>
  <si>
    <t>1/SC8/7</t>
  </si>
  <si>
    <t>1/SC9/5</t>
  </si>
  <si>
    <t>1/SC10/D</t>
  </si>
  <si>
    <t>1/SC11/L</t>
  </si>
  <si>
    <t>1/PŁ1</t>
  </si>
  <si>
    <t>1/BL1</t>
  </si>
  <si>
    <t>1/BL2</t>
  </si>
  <si>
    <t>1/BL3</t>
  </si>
  <si>
    <t>1/BL4</t>
  </si>
  <si>
    <t>1/BL5</t>
  </si>
  <si>
    <t>1/BL6</t>
  </si>
  <si>
    <t>1/BL7</t>
  </si>
  <si>
    <t>1/SCH1</t>
  </si>
  <si>
    <t>1/Ż1</t>
  </si>
  <si>
    <t>1/Ż2</t>
  </si>
  <si>
    <t>2 piętro</t>
  </si>
  <si>
    <t>2/NP1</t>
  </si>
  <si>
    <t>2/N1</t>
  </si>
  <si>
    <t>2/N2</t>
  </si>
  <si>
    <t>2/N3</t>
  </si>
  <si>
    <t>2/P1</t>
  </si>
  <si>
    <t>gr.12 bieg,     gr.20 spocznik</t>
  </si>
  <si>
    <t>belka obwodowa (podciąg / nadciąg)</t>
  </si>
  <si>
    <t>1/B9</t>
  </si>
  <si>
    <t>1/B10</t>
  </si>
  <si>
    <t>2/B9</t>
  </si>
  <si>
    <t>2/B10</t>
  </si>
  <si>
    <t>2/B1</t>
  </si>
  <si>
    <t>7/B9</t>
  </si>
  <si>
    <t>7/B10</t>
  </si>
  <si>
    <t>2/B2</t>
  </si>
  <si>
    <t>2/B3</t>
  </si>
  <si>
    <t>2/B4</t>
  </si>
  <si>
    <t>2/B5</t>
  </si>
  <si>
    <t>2/B6</t>
  </si>
  <si>
    <t>2/B7</t>
  </si>
  <si>
    <t>2/B8</t>
  </si>
  <si>
    <t>2/S1</t>
  </si>
  <si>
    <t>2/S2</t>
  </si>
  <si>
    <t>2/S3</t>
  </si>
  <si>
    <t>2/SC1/F</t>
  </si>
  <si>
    <t>2/SC2/G</t>
  </si>
  <si>
    <t>2/SC3/H</t>
  </si>
  <si>
    <t>2/SC4/K</t>
  </si>
  <si>
    <t>2/SC5/11</t>
  </si>
  <si>
    <t>2/SC6/9</t>
  </si>
  <si>
    <t>2/SC7/8</t>
  </si>
  <si>
    <t>2/SC8/7</t>
  </si>
  <si>
    <t>2/SC9/5</t>
  </si>
  <si>
    <t>2/SC10/D</t>
  </si>
  <si>
    <t>2/SC11/L</t>
  </si>
  <si>
    <t>2/PŁ1</t>
  </si>
  <si>
    <t>2/BL1</t>
  </si>
  <si>
    <t>2/BL2</t>
  </si>
  <si>
    <t>2/BL3</t>
  </si>
  <si>
    <t>2/BL4</t>
  </si>
  <si>
    <t>2/BL5</t>
  </si>
  <si>
    <t>2/BL6</t>
  </si>
  <si>
    <t>2/BL7</t>
  </si>
  <si>
    <t>2/SCH1</t>
  </si>
  <si>
    <t>2/Ż1</t>
  </si>
  <si>
    <t>2/Ż2</t>
  </si>
  <si>
    <t>P/S1</t>
  </si>
  <si>
    <t>P/S2</t>
  </si>
  <si>
    <t>P/S4</t>
  </si>
  <si>
    <t>P/S3</t>
  </si>
  <si>
    <t>P/S5</t>
  </si>
  <si>
    <t>P/S6</t>
  </si>
  <si>
    <t>P/S7</t>
  </si>
  <si>
    <t>P/S8</t>
  </si>
  <si>
    <t>P/SC23/13</t>
  </si>
  <si>
    <t>F</t>
  </si>
  <si>
    <t>SF1</t>
  </si>
  <si>
    <t>SF2</t>
  </si>
  <si>
    <t>SF3</t>
  </si>
  <si>
    <t>SF4</t>
  </si>
  <si>
    <t>SF5</t>
  </si>
  <si>
    <t>SF6</t>
  </si>
  <si>
    <t>SF7</t>
  </si>
  <si>
    <t>SF8</t>
  </si>
  <si>
    <t>SF9</t>
  </si>
  <si>
    <t>SF10</t>
  </si>
  <si>
    <t>stopa fundamentowa</t>
  </si>
  <si>
    <t>320x320x80</t>
  </si>
  <si>
    <t>300x300x80</t>
  </si>
  <si>
    <t>260x260x80</t>
  </si>
  <si>
    <t>140x140x50</t>
  </si>
  <si>
    <t>100x100x50</t>
  </si>
  <si>
    <t>SF11</t>
  </si>
  <si>
    <t>SF12</t>
  </si>
  <si>
    <t>SF13</t>
  </si>
  <si>
    <t>100x80x50</t>
  </si>
  <si>
    <t>LF1</t>
  </si>
  <si>
    <t>ława fundamentowa</t>
  </si>
  <si>
    <t>180x50</t>
  </si>
  <si>
    <t>LF2</t>
  </si>
  <si>
    <t>LF3</t>
  </si>
  <si>
    <t>LF4</t>
  </si>
  <si>
    <t>LF5</t>
  </si>
  <si>
    <t>LF6</t>
  </si>
  <si>
    <t>120x50</t>
  </si>
  <si>
    <t>60x50</t>
  </si>
  <si>
    <t>40x50</t>
  </si>
  <si>
    <t>ZF1</t>
  </si>
  <si>
    <t>żebro fundamentowe</t>
  </si>
  <si>
    <t>ZF2</t>
  </si>
  <si>
    <t>ZF3</t>
  </si>
  <si>
    <t>ZF4</t>
  </si>
  <si>
    <t>60x80</t>
  </si>
  <si>
    <t>FSW1</t>
  </si>
  <si>
    <t>fundament szybu windowego</t>
  </si>
  <si>
    <t>gr.40</t>
  </si>
  <si>
    <t>LF7</t>
  </si>
  <si>
    <t>LF8</t>
  </si>
  <si>
    <t>LF9</t>
  </si>
  <si>
    <t>podest stalowy</t>
  </si>
  <si>
    <t>stal S235</t>
  </si>
  <si>
    <t>1/PS1</t>
  </si>
  <si>
    <t>0/PS1</t>
  </si>
  <si>
    <t>P/PS1</t>
  </si>
  <si>
    <t>2/PS1</t>
  </si>
  <si>
    <t>7/PS1</t>
  </si>
  <si>
    <t>8/PS1</t>
  </si>
  <si>
    <t>P/SCH3</t>
  </si>
  <si>
    <t>konstrukcja stalowa zadaszenia i obudowy klatki schodowej SCH2</t>
  </si>
  <si>
    <t>0/OS1</t>
  </si>
  <si>
    <t>schody stalowe systemowe</t>
  </si>
  <si>
    <t>belki C120x55x7, krata pomost. gr.3</t>
  </si>
  <si>
    <t>belki C120x60x3, krata pomost. gr.3</t>
  </si>
  <si>
    <t>4 piętro</t>
  </si>
  <si>
    <t>6 piętro</t>
  </si>
  <si>
    <t>4/NP1</t>
  </si>
  <si>
    <t>4/N1</t>
  </si>
  <si>
    <t>3/N2</t>
  </si>
  <si>
    <t>3/N3</t>
  </si>
  <si>
    <t>4/N2</t>
  </si>
  <si>
    <t>4/N3</t>
  </si>
  <si>
    <t>4/P1</t>
  </si>
  <si>
    <t>4/B1</t>
  </si>
  <si>
    <t>4/B2</t>
  </si>
  <si>
    <t>4/B3</t>
  </si>
  <si>
    <t>4/B4</t>
  </si>
  <si>
    <t>4/B5</t>
  </si>
  <si>
    <t>4/B6</t>
  </si>
  <si>
    <t>4/B7</t>
  </si>
  <si>
    <t>4/B8</t>
  </si>
  <si>
    <t>4/B9</t>
  </si>
  <si>
    <t>4/B10</t>
  </si>
  <si>
    <t>4/S1</t>
  </si>
  <si>
    <t>4/S2</t>
  </si>
  <si>
    <t>4/S3</t>
  </si>
  <si>
    <t>4/SC1/F</t>
  </si>
  <si>
    <t>4/SC2/G</t>
  </si>
  <si>
    <t>4/SC3/H</t>
  </si>
  <si>
    <t>4/SC4/K</t>
  </si>
  <si>
    <t>4/SC5/11</t>
  </si>
  <si>
    <t>4/SC6/9</t>
  </si>
  <si>
    <t>4/SC7/8</t>
  </si>
  <si>
    <t>4/SC8/7</t>
  </si>
  <si>
    <t>4/SC9/5</t>
  </si>
  <si>
    <t>4/SC10/D</t>
  </si>
  <si>
    <t>4/SC11/L</t>
  </si>
  <si>
    <t>4/PŁ1</t>
  </si>
  <si>
    <t>4/BL1</t>
  </si>
  <si>
    <t>4/BL2</t>
  </si>
  <si>
    <t>4/BL3</t>
  </si>
  <si>
    <t>4/BL4</t>
  </si>
  <si>
    <t>4/BL5</t>
  </si>
  <si>
    <t>4/BL6</t>
  </si>
  <si>
    <t>4/BL7</t>
  </si>
  <si>
    <t>4/SCH1</t>
  </si>
  <si>
    <t>4/Ż1</t>
  </si>
  <si>
    <t>4/Ż2</t>
  </si>
  <si>
    <t>4/PS1</t>
  </si>
  <si>
    <t>6/NP1</t>
  </si>
  <si>
    <t>6/N1</t>
  </si>
  <si>
    <t>6/N2</t>
  </si>
  <si>
    <t>6/N3</t>
  </si>
  <si>
    <t>6/P1</t>
  </si>
  <si>
    <t>6/B1</t>
  </si>
  <si>
    <t>6/B2</t>
  </si>
  <si>
    <t>6/B3</t>
  </si>
  <si>
    <t>6/B4</t>
  </si>
  <si>
    <t>6/B5</t>
  </si>
  <si>
    <t>6/B6</t>
  </si>
  <si>
    <t>6/B7</t>
  </si>
  <si>
    <t>6/B8</t>
  </si>
  <si>
    <t>6/B9</t>
  </si>
  <si>
    <t>6/B10</t>
  </si>
  <si>
    <t>6/S1</t>
  </si>
  <si>
    <t>6/S2</t>
  </si>
  <si>
    <t>6/S3</t>
  </si>
  <si>
    <t>6/SC1/F</t>
  </si>
  <si>
    <t>6/SC2/G</t>
  </si>
  <si>
    <t>6/SC3/H</t>
  </si>
  <si>
    <t>6/SC4/K</t>
  </si>
  <si>
    <t>6/SC5/11</t>
  </si>
  <si>
    <t>6/SC6/9</t>
  </si>
  <si>
    <t>6/SC7/8</t>
  </si>
  <si>
    <t>6/SC8/7</t>
  </si>
  <si>
    <t>6/SC9/5</t>
  </si>
  <si>
    <t>6/SC10/D</t>
  </si>
  <si>
    <t>6/SC11/L</t>
  </si>
  <si>
    <t>6/PŁ1</t>
  </si>
  <si>
    <t>6/BL1</t>
  </si>
  <si>
    <t>6/BL2</t>
  </si>
  <si>
    <t>6/BL3</t>
  </si>
  <si>
    <t>6/BL4</t>
  </si>
  <si>
    <t>6/BL5</t>
  </si>
  <si>
    <t>6/BL6</t>
  </si>
  <si>
    <t>6/BL7</t>
  </si>
  <si>
    <t>6/SCH1</t>
  </si>
  <si>
    <t>6/Ż1</t>
  </si>
  <si>
    <t>6/Ż2</t>
  </si>
  <si>
    <t>6/PS1</t>
  </si>
  <si>
    <t>3piętro</t>
  </si>
  <si>
    <t>5piętro</t>
  </si>
  <si>
    <t>3/NP1</t>
  </si>
  <si>
    <t>3/N1</t>
  </si>
  <si>
    <t>3/P1</t>
  </si>
  <si>
    <t>3/B1</t>
  </si>
  <si>
    <t>3/B2</t>
  </si>
  <si>
    <t>3/B3</t>
  </si>
  <si>
    <t>3/B4</t>
  </si>
  <si>
    <t>3/B5</t>
  </si>
  <si>
    <t>3/B6</t>
  </si>
  <si>
    <t>3/B7</t>
  </si>
  <si>
    <t>3/B8</t>
  </si>
  <si>
    <t>3/B9</t>
  </si>
  <si>
    <t>3/B10</t>
  </si>
  <si>
    <t>3/S1</t>
  </si>
  <si>
    <t>3/S2</t>
  </si>
  <si>
    <t>3/S3</t>
  </si>
  <si>
    <t>3/SC1/F</t>
  </si>
  <si>
    <t>3/SC2/G</t>
  </si>
  <si>
    <t>3/SC3/H</t>
  </si>
  <si>
    <t>3/SC4/K</t>
  </si>
  <si>
    <t>3/SC5/11</t>
  </si>
  <si>
    <t>3/SC6/9</t>
  </si>
  <si>
    <t>3/SC7/8</t>
  </si>
  <si>
    <t>3/SC8/7</t>
  </si>
  <si>
    <t>3/SC9/5</t>
  </si>
  <si>
    <t>3/SC10/D</t>
  </si>
  <si>
    <t>3/SC11/L</t>
  </si>
  <si>
    <t>3/PŁ1</t>
  </si>
  <si>
    <t>3/BL1</t>
  </si>
  <si>
    <t>3/BL2</t>
  </si>
  <si>
    <t>3/BL3</t>
  </si>
  <si>
    <t>3/BL4</t>
  </si>
  <si>
    <t>3/BL5</t>
  </si>
  <si>
    <t>3/BL6</t>
  </si>
  <si>
    <t>3/BL7</t>
  </si>
  <si>
    <t>3/SCH1</t>
  </si>
  <si>
    <t>3/Ż1</t>
  </si>
  <si>
    <t>3/Ż2</t>
  </si>
  <si>
    <t>3/PS1</t>
  </si>
  <si>
    <t>5/NP1</t>
  </si>
  <si>
    <t>5/N1</t>
  </si>
  <si>
    <t>5/N2</t>
  </si>
  <si>
    <t>5/N3</t>
  </si>
  <si>
    <t>5/P1</t>
  </si>
  <si>
    <t>5/B1</t>
  </si>
  <si>
    <t>5/B2</t>
  </si>
  <si>
    <t>5/B3</t>
  </si>
  <si>
    <t>5/B4</t>
  </si>
  <si>
    <t>5/B5</t>
  </si>
  <si>
    <t>5/B6</t>
  </si>
  <si>
    <t>5/B7</t>
  </si>
  <si>
    <t>5/B8</t>
  </si>
  <si>
    <t>5/B9</t>
  </si>
  <si>
    <t>5/B10</t>
  </si>
  <si>
    <t>5/S1</t>
  </si>
  <si>
    <t>5/S2</t>
  </si>
  <si>
    <t>5/S3</t>
  </si>
  <si>
    <t>5/SC1/F</t>
  </si>
  <si>
    <t>5/SC2/G</t>
  </si>
  <si>
    <t>5/SC3/H</t>
  </si>
  <si>
    <t>5/SC4/K</t>
  </si>
  <si>
    <t>5/SC5/11</t>
  </si>
  <si>
    <t>5/SC6/9</t>
  </si>
  <si>
    <t>5/SC7/8</t>
  </si>
  <si>
    <t>5/SC8/7</t>
  </si>
  <si>
    <t>5/SC9/5</t>
  </si>
  <si>
    <t>5/SC10/D</t>
  </si>
  <si>
    <t>5/SC11/L</t>
  </si>
  <si>
    <t>5/PŁ1</t>
  </si>
  <si>
    <t>5/BL1</t>
  </si>
  <si>
    <t>5/BL2</t>
  </si>
  <si>
    <t>5/BL3</t>
  </si>
  <si>
    <t>5/BL4</t>
  </si>
  <si>
    <t>5/BL5</t>
  </si>
  <si>
    <t>5/BL6</t>
  </si>
  <si>
    <t>5/BL7</t>
  </si>
  <si>
    <t>5/SCH1</t>
  </si>
  <si>
    <t>5/Ż1</t>
  </si>
  <si>
    <t>5/Ż2</t>
  </si>
  <si>
    <t>5/PS1</t>
  </si>
  <si>
    <t>gr.18 bieg i spocznik</t>
  </si>
  <si>
    <t>gr.25,         pilastry gr.40</t>
  </si>
  <si>
    <t>rama IPE 140, rygle podłużne RK 60x60x5</t>
  </si>
  <si>
    <t>0/SC12</t>
  </si>
  <si>
    <t>0/SC13</t>
  </si>
  <si>
    <t>0/SC14</t>
  </si>
  <si>
    <t>0/SC15</t>
  </si>
  <si>
    <t>gr.45 dołem i gr.25 górą</t>
  </si>
  <si>
    <t>0/PŁ2</t>
  </si>
  <si>
    <t>gr. 12</t>
  </si>
  <si>
    <t>gr. 21-18</t>
  </si>
  <si>
    <t>9/W1</t>
  </si>
  <si>
    <t>wieniec żelbetowy</t>
  </si>
  <si>
    <t>9/W2</t>
  </si>
  <si>
    <t>9/W3</t>
  </si>
  <si>
    <t>9/W4</t>
  </si>
  <si>
    <t>9/W5</t>
  </si>
  <si>
    <t>9/W6</t>
  </si>
  <si>
    <t>9/W7</t>
  </si>
  <si>
    <t>9/W8</t>
  </si>
  <si>
    <t>9/W9</t>
  </si>
  <si>
    <t>STAL ZBROJENIOWA</t>
  </si>
  <si>
    <t>RAZEM:</t>
  </si>
  <si>
    <t>⌀ [kg]</t>
  </si>
  <si>
    <t># [kg]</t>
  </si>
  <si>
    <r>
      <t>6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</si>
  <si>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8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</si>
  <si>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10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</si>
  <si>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12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</si>
  <si>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16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</si>
  <si>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14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</si>
  <si>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20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</si>
  <si>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24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</si>
  <si>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24x68               24x149</t>
  </si>
  <si>
    <t>9/T1</t>
  </si>
  <si>
    <t>24x20</t>
  </si>
  <si>
    <t>9/T2</t>
  </si>
  <si>
    <t>gr. 20</t>
  </si>
  <si>
    <t>zbrojenie zawarte w 7/PŁ1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</si>
</sst>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1"/>
      <color rgb="FF7030A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sz val="11"/>
      <color rgb="FF0070C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0" fillId="3" borderId="0" xfId="0" applyFill="1"/>
    <xf numFmtId="0" fontId="4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/>
    <xf numFmtId="0" fontId="4" fillId="0" borderId="5" xfId="0" applyFont="1" applyBorder="1"/>
    <xf numFmtId="2" fontId="4" fillId="0" borderId="1" xfId="0" applyNumberFormat="1" applyFont="1" applyBorder="1" applyAlignment="1">
      <alignment horizontal="right"/>
    </xf>
    <xf numFmtId="0" fontId="4" fillId="0" borderId="7" xfId="0" applyFont="1" applyBorder="1"/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right"/>
    </xf>
    <xf numFmtId="2" fontId="6" fillId="3" borderId="1" xfId="0" applyNumberFormat="1" applyFont="1" applyFill="1" applyBorder="1"/>
    <xf numFmtId="2" fontId="6" fillId="0" borderId="1" xfId="0" applyNumberFormat="1" applyFont="1" applyBorder="1"/>
    <xf numFmtId="0" fontId="6" fillId="4" borderId="5" xfId="0" applyFont="1" applyFill="1" applyBorder="1"/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/>
    <xf numFmtId="0" fontId="6" fillId="4" borderId="6" xfId="0" applyFont="1" applyFill="1" applyBorder="1"/>
    <xf numFmtId="0" fontId="6" fillId="4" borderId="7" xfId="0" applyFont="1" applyFill="1" applyBorder="1"/>
    <xf numFmtId="0" fontId="6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2" fontId="6" fillId="4" borderId="8" xfId="0" applyNumberFormat="1" applyFont="1" applyFill="1" applyBorder="1"/>
    <xf numFmtId="0" fontId="6" fillId="4" borderId="9" xfId="0" applyFont="1" applyFill="1" applyBorder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2" fontId="6" fillId="0" borderId="0" xfId="0" applyNumberFormat="1" applyFont="1"/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/>
    </xf>
    <xf numFmtId="2" fontId="6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4" fillId="3" borderId="1" xfId="0" applyNumberFormat="1" applyFont="1" applyFill="1" applyBorder="1"/>
    <xf numFmtId="0" fontId="4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horizontal="center" wrapText="1"/>
    </xf>
    <xf numFmtId="2" fontId="6" fillId="0" borderId="8" xfId="0" applyNumberFormat="1" applyFont="1" applyBorder="1" applyAlignment="1">
      <alignment horizontal="center" vertical="center"/>
    </xf>
    <xf numFmtId="0" fontId="3" fillId="0" borderId="7" xfId="0" applyFont="1" applyBorder="1"/>
    <xf numFmtId="2" fontId="6" fillId="0" borderId="8" xfId="0" applyNumberFormat="1" applyFont="1" applyBorder="1"/>
    <xf numFmtId="0" fontId="2" fillId="3" borderId="0" xfId="0" applyFont="1" applyFill="1"/>
    <xf numFmtId="0" fontId="7" fillId="0" borderId="23" xfId="0" applyFont="1" applyBorder="1" applyAlignment="1">
      <alignment horizontal="center" vertical="center" wrapText="1"/>
    </xf>
    <xf numFmtId="0" fontId="6" fillId="0" borderId="24" xfId="0" applyFont="1" applyBorder="1"/>
    <xf numFmtId="2" fontId="6" fillId="0" borderId="24" xfId="0" applyNumberFormat="1" applyFont="1" applyBorder="1" applyAlignment="1">
      <alignment horizontal="right"/>
    </xf>
    <xf numFmtId="2" fontId="6" fillId="0" borderId="25" xfId="0" applyNumberFormat="1" applyFont="1" applyBorder="1" applyAlignment="1">
      <alignment horizontal="right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0" fillId="0" borderId="28" xfId="0" applyBorder="1"/>
    <xf numFmtId="0" fontId="9" fillId="0" borderId="28" xfId="0" applyFont="1" applyBorder="1"/>
    <xf numFmtId="0" fontId="0" fillId="0" borderId="29" xfId="0" applyBorder="1"/>
    <xf numFmtId="0" fontId="0" fillId="0" borderId="30" xfId="0" applyBorder="1"/>
    <xf numFmtId="0" fontId="9" fillId="0" borderId="31" xfId="0" applyFont="1" applyBorder="1"/>
    <xf numFmtId="0" fontId="0" fillId="0" borderId="31" xfId="0" applyBorder="1"/>
    <xf numFmtId="0" fontId="9" fillId="0" borderId="0" xfId="0" applyFont="1"/>
    <xf numFmtId="0" fontId="9" fillId="0" borderId="32" xfId="0" applyFont="1" applyBorder="1"/>
    <xf numFmtId="0" fontId="9" fillId="0" borderId="33" xfId="0" applyFont="1" applyBorder="1"/>
    <xf numFmtId="0" fontId="9" fillId="0" borderId="29" xfId="0" applyFont="1" applyBorder="1"/>
    <xf numFmtId="0" fontId="9" fillId="0" borderId="30" xfId="0" applyFont="1" applyBorder="1"/>
    <xf numFmtId="0" fontId="3" fillId="0" borderId="31" xfId="0" applyFont="1" applyBorder="1"/>
    <xf numFmtId="0" fontId="3" fillId="0" borderId="28" xfId="0" applyFont="1" applyBorder="1"/>
    <xf numFmtId="164" fontId="10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0" fontId="3" fillId="0" borderId="32" xfId="0" applyFont="1" applyBorder="1"/>
    <xf numFmtId="0" fontId="3" fillId="0" borderId="33" xfId="0" applyFont="1" applyBorder="1"/>
    <xf numFmtId="2" fontId="12" fillId="0" borderId="1" xfId="0" applyNumberFormat="1" applyFont="1" applyBorder="1"/>
    <xf numFmtId="164" fontId="10" fillId="0" borderId="5" xfId="0" applyNumberFormat="1" applyFont="1" applyBorder="1" applyAlignment="1">
      <alignment horizontal="center" vertical="center"/>
    </xf>
    <xf numFmtId="0" fontId="12" fillId="0" borderId="24" xfId="0" applyFont="1" applyBorder="1"/>
    <xf numFmtId="0" fontId="13" fillId="0" borderId="5" xfId="0" applyFont="1" applyBorder="1"/>
    <xf numFmtId="0" fontId="13" fillId="0" borderId="7" xfId="0" applyFont="1" applyBorder="1"/>
    <xf numFmtId="0" fontId="12" fillId="0" borderId="1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164" fontId="13" fillId="0" borderId="9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9" fillId="0" borderId="31" xfId="0" applyNumberFormat="1" applyFont="1" applyBorder="1"/>
    <xf numFmtId="164" fontId="13" fillId="0" borderId="5" xfId="0" applyNumberFormat="1" applyFont="1" applyBorder="1" applyAlignment="1">
      <alignment horizontal="center" vertical="center"/>
    </xf>
    <xf numFmtId="164" fontId="5" fillId="5" borderId="26" xfId="0" applyNumberFormat="1" applyFont="1" applyFill="1" applyBorder="1" applyAlignment="1">
      <alignment horizontal="center" vertical="center"/>
    </xf>
    <xf numFmtId="164" fontId="5" fillId="5" borderId="27" xfId="0" applyNumberFormat="1" applyFont="1" applyFill="1" applyBorder="1" applyAlignment="1">
      <alignment horizontal="center" vertical="center"/>
    </xf>
    <xf numFmtId="0" fontId="4" fillId="0" borderId="24" xfId="0" applyFont="1" applyBorder="1"/>
    <xf numFmtId="0" fontId="6" fillId="0" borderId="24" xfId="0" applyFont="1" applyBorder="1" applyAlignment="1">
      <alignment horizontal="right"/>
    </xf>
    <xf numFmtId="0" fontId="6" fillId="0" borderId="25" xfId="0" applyFont="1" applyBorder="1"/>
    <xf numFmtId="164" fontId="5" fillId="5" borderId="36" xfId="0" applyNumberFormat="1" applyFont="1" applyFill="1" applyBorder="1" applyAlignment="1">
      <alignment horizontal="center" vertical="center"/>
    </xf>
    <xf numFmtId="164" fontId="5" fillId="5" borderId="37" xfId="0" applyNumberFormat="1" applyFont="1" applyFill="1" applyBorder="1" applyAlignment="1">
      <alignment horizontal="center" vertical="center"/>
    </xf>
    <xf numFmtId="164" fontId="6" fillId="0" borderId="38" xfId="0" applyNumberFormat="1" applyFont="1" applyBorder="1" applyAlignment="1">
      <alignment horizontal="center" vertical="center"/>
    </xf>
    <xf numFmtId="164" fontId="6" fillId="0" borderId="39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horizontal="right"/>
    </xf>
    <xf numFmtId="164" fontId="11" fillId="5" borderId="26" xfId="0" applyNumberFormat="1" applyFont="1" applyFill="1" applyBorder="1" applyAlignment="1">
      <alignment horizontal="center" vertical="center"/>
    </xf>
    <xf numFmtId="164" fontId="11" fillId="5" borderId="27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right"/>
    </xf>
    <xf numFmtId="0" fontId="4" fillId="0" borderId="25" xfId="0" applyFont="1" applyBorder="1"/>
    <xf numFmtId="164" fontId="0" fillId="0" borderId="0" xfId="0" applyNumberFormat="1"/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right" vertical="center" wrapText="1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3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right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9F289-C70F-4214-8AA2-1202C8510BFC}">
  <dimension ref="B1:V38"/>
  <sheetViews>
    <sheetView topLeftCell="A15" workbookViewId="0">
      <selection activeCell="J38" sqref="J38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28515625" customWidth="1"/>
    <col min="15" max="17" width="12" bestFit="1" customWidth="1"/>
  </cols>
  <sheetData>
    <row r="1" spans="2:22" x14ac:dyDescent="0.25">
      <c r="B1" s="8"/>
      <c r="C1" s="32"/>
      <c r="D1" s="33"/>
      <c r="E1" s="34"/>
      <c r="F1" s="33"/>
      <c r="G1" s="35"/>
      <c r="H1" s="32"/>
      <c r="I1" s="32"/>
      <c r="J1" s="32"/>
    </row>
    <row r="2" spans="2:22" ht="17.25" x14ac:dyDescent="0.25">
      <c r="B2" s="8"/>
      <c r="C2" s="32"/>
      <c r="D2" s="33"/>
      <c r="E2" s="34"/>
      <c r="F2" s="33"/>
      <c r="G2" s="35"/>
      <c r="H2" s="32"/>
      <c r="I2" s="32"/>
      <c r="J2" s="32"/>
      <c r="O2" s="67" t="s">
        <v>651</v>
      </c>
      <c r="P2" s="67" t="s">
        <v>652</v>
      </c>
      <c r="Q2" s="67" t="s">
        <v>653</v>
      </c>
      <c r="R2" s="67" t="s">
        <v>654</v>
      </c>
      <c r="S2" s="67" t="s">
        <v>656</v>
      </c>
      <c r="T2" s="67" t="s">
        <v>655</v>
      </c>
      <c r="U2" s="67" t="s">
        <v>657</v>
      </c>
      <c r="V2" s="67" t="s">
        <v>658</v>
      </c>
    </row>
    <row r="3" spans="2:22" ht="15.75" thickBot="1" x14ac:dyDescent="0.3">
      <c r="B3" s="8"/>
      <c r="C3" s="32"/>
      <c r="D3" s="33"/>
      <c r="E3" s="34"/>
      <c r="F3" s="33"/>
      <c r="G3" s="35"/>
      <c r="H3" s="32"/>
      <c r="I3" s="32"/>
      <c r="J3" s="32"/>
      <c r="O3">
        <f>PI()*((0.006/2)^2)</f>
        <v>2.8274333882308137E-5</v>
      </c>
      <c r="P3">
        <f>PI()*((0.008/2)^2)</f>
        <v>5.0265482457436686E-5</v>
      </c>
      <c r="Q3">
        <f>PI()*((0.01/2)^2)</f>
        <v>7.8539816339744827E-5</v>
      </c>
      <c r="R3">
        <f>PI()*((0.012/2)^2)</f>
        <v>1.1309733552923255E-4</v>
      </c>
      <c r="S3">
        <f>PI()*((0.014/2)^2)</f>
        <v>1.5393804002589989E-4</v>
      </c>
      <c r="T3">
        <f>PI()*((0.016/2)^2)</f>
        <v>2.0106192982974675E-4</v>
      </c>
      <c r="U3">
        <f>PI()*((0.02/2)^2)</f>
        <v>3.1415926535897931E-4</v>
      </c>
      <c r="V3">
        <f>PI()*((0.024/2)^2)</f>
        <v>4.523893421169302E-4</v>
      </c>
    </row>
    <row r="4" spans="2:22" ht="15.75" thickBot="1" x14ac:dyDescent="0.3">
      <c r="B4" s="8"/>
      <c r="C4" s="131" t="s">
        <v>3</v>
      </c>
      <c r="D4" s="132"/>
      <c r="E4" s="132"/>
      <c r="F4" s="132"/>
      <c r="G4" s="132"/>
      <c r="H4" s="132"/>
      <c r="I4" s="124" t="s">
        <v>647</v>
      </c>
      <c r="J4" s="125"/>
      <c r="L4" s="2" t="s">
        <v>400</v>
      </c>
    </row>
    <row r="5" spans="2:22" ht="26.25" thickBot="1" x14ac:dyDescent="0.3">
      <c r="B5" s="8"/>
      <c r="C5" s="45" t="s">
        <v>2</v>
      </c>
      <c r="D5" s="46" t="s">
        <v>0</v>
      </c>
      <c r="E5" s="47" t="s">
        <v>4</v>
      </c>
      <c r="F5" s="47" t="s">
        <v>5</v>
      </c>
      <c r="G5" s="47" t="s">
        <v>1</v>
      </c>
      <c r="H5" s="61" t="s">
        <v>6</v>
      </c>
      <c r="I5" s="65" t="s">
        <v>649</v>
      </c>
      <c r="J5" s="66" t="s">
        <v>650</v>
      </c>
      <c r="L5" s="2"/>
    </row>
    <row r="6" spans="2:22" x14ac:dyDescent="0.25">
      <c r="B6" s="8"/>
      <c r="C6" s="133"/>
      <c r="D6" s="134"/>
      <c r="E6" s="134"/>
      <c r="F6" s="134"/>
      <c r="G6" s="134"/>
      <c r="H6" s="134"/>
      <c r="I6" s="68"/>
      <c r="J6" s="69"/>
      <c r="L6" s="76"/>
      <c r="M6" s="77"/>
      <c r="N6" s="76"/>
      <c r="O6" s="77"/>
    </row>
    <row r="7" spans="2:22" x14ac:dyDescent="0.25">
      <c r="B7" s="8"/>
      <c r="C7" s="95" t="s">
        <v>401</v>
      </c>
      <c r="D7" s="10" t="s">
        <v>411</v>
      </c>
      <c r="E7" s="37" t="s">
        <v>9</v>
      </c>
      <c r="F7" s="10" t="s">
        <v>412</v>
      </c>
      <c r="G7" s="38" t="s">
        <v>8</v>
      </c>
      <c r="H7" s="62">
        <v>7</v>
      </c>
      <c r="I7" s="70">
        <v>0</v>
      </c>
      <c r="J7" s="103">
        <f>377*H7</f>
        <v>2639</v>
      </c>
      <c r="L7" s="78"/>
      <c r="M7" s="75"/>
      <c r="N7" s="79"/>
      <c r="O7" s="74"/>
    </row>
    <row r="8" spans="2:22" x14ac:dyDescent="0.25">
      <c r="B8" s="8"/>
      <c r="C8" s="95" t="s">
        <v>402</v>
      </c>
      <c r="D8" s="10" t="s">
        <v>411</v>
      </c>
      <c r="E8" s="37" t="s">
        <v>9</v>
      </c>
      <c r="F8" s="10" t="s">
        <v>413</v>
      </c>
      <c r="G8" s="38" t="s">
        <v>8</v>
      </c>
      <c r="H8" s="62">
        <v>13</v>
      </c>
      <c r="I8" s="70">
        <v>0</v>
      </c>
      <c r="J8" s="103">
        <f>272*H8</f>
        <v>3536</v>
      </c>
      <c r="L8" s="78"/>
      <c r="M8" s="75"/>
      <c r="N8" s="79"/>
      <c r="O8" s="74"/>
    </row>
    <row r="9" spans="2:22" x14ac:dyDescent="0.25">
      <c r="B9" s="8"/>
      <c r="C9" s="95" t="s">
        <v>403</v>
      </c>
      <c r="D9" s="10" t="s">
        <v>411</v>
      </c>
      <c r="E9" s="37" t="s">
        <v>9</v>
      </c>
      <c r="F9" s="10" t="s">
        <v>414</v>
      </c>
      <c r="G9" s="38" t="s">
        <v>8</v>
      </c>
      <c r="H9" s="62">
        <v>6</v>
      </c>
      <c r="I9" s="70">
        <v>0</v>
      </c>
      <c r="J9" s="103">
        <f>147*H9</f>
        <v>882</v>
      </c>
      <c r="L9" s="78"/>
      <c r="M9" s="75"/>
      <c r="N9" s="79"/>
      <c r="O9" s="74"/>
    </row>
    <row r="10" spans="2:22" x14ac:dyDescent="0.25">
      <c r="B10" s="8"/>
      <c r="C10" s="95" t="s">
        <v>404</v>
      </c>
      <c r="D10" s="10" t="s">
        <v>411</v>
      </c>
      <c r="E10" s="37" t="s">
        <v>9</v>
      </c>
      <c r="F10" s="10" t="s">
        <v>415</v>
      </c>
      <c r="G10" s="38" t="s">
        <v>8</v>
      </c>
      <c r="H10" s="94">
        <v>19</v>
      </c>
      <c r="I10" s="70">
        <v>0</v>
      </c>
      <c r="J10" s="103">
        <f>31*H10</f>
        <v>589</v>
      </c>
      <c r="L10" s="78"/>
      <c r="M10" s="75"/>
      <c r="N10" s="79"/>
      <c r="O10" s="74"/>
    </row>
    <row r="11" spans="2:22" x14ac:dyDescent="0.25">
      <c r="B11" s="8"/>
      <c r="C11" s="95" t="s">
        <v>405</v>
      </c>
      <c r="D11" s="10" t="s">
        <v>411</v>
      </c>
      <c r="E11" s="37" t="s">
        <v>9</v>
      </c>
      <c r="F11" s="10" t="s">
        <v>415</v>
      </c>
      <c r="G11" s="38" t="s">
        <v>8</v>
      </c>
      <c r="H11" s="62">
        <v>4</v>
      </c>
      <c r="I11" s="70">
        <v>0</v>
      </c>
      <c r="J11" s="103">
        <f>31*H11</f>
        <v>124</v>
      </c>
      <c r="L11" s="78"/>
      <c r="M11" s="75"/>
      <c r="N11" s="79"/>
      <c r="O11" s="74"/>
    </row>
    <row r="12" spans="2:22" x14ac:dyDescent="0.25">
      <c r="B12" s="8"/>
      <c r="C12" s="95" t="s">
        <v>406</v>
      </c>
      <c r="D12" s="10" t="s">
        <v>411</v>
      </c>
      <c r="E12" s="37" t="s">
        <v>9</v>
      </c>
      <c r="F12" s="10" t="s">
        <v>415</v>
      </c>
      <c r="G12" s="38" t="s">
        <v>8</v>
      </c>
      <c r="H12" s="62">
        <v>3</v>
      </c>
      <c r="I12" s="70">
        <v>0</v>
      </c>
      <c r="J12" s="103">
        <f>31*H12</f>
        <v>93</v>
      </c>
      <c r="L12" s="78"/>
      <c r="M12" s="75"/>
      <c r="N12" s="79"/>
      <c r="O12" s="74"/>
    </row>
    <row r="13" spans="2:22" x14ac:dyDescent="0.25">
      <c r="B13" s="8"/>
      <c r="C13" s="95" t="s">
        <v>407</v>
      </c>
      <c r="D13" s="10" t="s">
        <v>411</v>
      </c>
      <c r="E13" s="37" t="s">
        <v>9</v>
      </c>
      <c r="F13" s="10" t="s">
        <v>415</v>
      </c>
      <c r="G13" s="38" t="s">
        <v>8</v>
      </c>
      <c r="H13" s="94">
        <v>3</v>
      </c>
      <c r="I13" s="70">
        <v>0</v>
      </c>
      <c r="J13" s="103">
        <f>31*H13</f>
        <v>93</v>
      </c>
      <c r="L13" s="78"/>
      <c r="M13" s="75"/>
      <c r="N13" s="79"/>
      <c r="O13" s="74"/>
    </row>
    <row r="14" spans="2:22" x14ac:dyDescent="0.25">
      <c r="B14" s="8"/>
      <c r="C14" s="95" t="s">
        <v>408</v>
      </c>
      <c r="D14" s="10" t="s">
        <v>411</v>
      </c>
      <c r="E14" s="37" t="s">
        <v>9</v>
      </c>
      <c r="F14" s="10" t="s">
        <v>416</v>
      </c>
      <c r="G14" s="38" t="s">
        <v>8</v>
      </c>
      <c r="H14" s="62">
        <v>2</v>
      </c>
      <c r="I14" s="70">
        <v>0</v>
      </c>
      <c r="J14" s="103">
        <f t="shared" ref="J14:J19" si="0">16*H14</f>
        <v>32</v>
      </c>
      <c r="L14" s="78"/>
      <c r="M14" s="75"/>
      <c r="N14" s="79"/>
      <c r="O14" s="74"/>
    </row>
    <row r="15" spans="2:22" x14ac:dyDescent="0.25">
      <c r="B15" s="8"/>
      <c r="C15" s="95" t="s">
        <v>409</v>
      </c>
      <c r="D15" s="10" t="s">
        <v>411</v>
      </c>
      <c r="E15" s="37" t="s">
        <v>9</v>
      </c>
      <c r="F15" s="10" t="s">
        <v>416</v>
      </c>
      <c r="G15" s="38" t="s">
        <v>8</v>
      </c>
      <c r="H15" s="62">
        <v>2</v>
      </c>
      <c r="I15" s="70">
        <v>0</v>
      </c>
      <c r="J15" s="103">
        <f t="shared" si="0"/>
        <v>32</v>
      </c>
      <c r="L15" s="78"/>
      <c r="M15" s="75"/>
      <c r="N15" s="79"/>
      <c r="O15" s="74"/>
    </row>
    <row r="16" spans="2:22" x14ac:dyDescent="0.25">
      <c r="B16" s="8"/>
      <c r="C16" s="95" t="s">
        <v>410</v>
      </c>
      <c r="D16" s="10" t="s">
        <v>411</v>
      </c>
      <c r="E16" s="37" t="s">
        <v>9</v>
      </c>
      <c r="F16" s="10" t="s">
        <v>416</v>
      </c>
      <c r="G16" s="38" t="s">
        <v>8</v>
      </c>
      <c r="H16" s="62">
        <v>1</v>
      </c>
      <c r="I16" s="70">
        <v>0</v>
      </c>
      <c r="J16" s="103">
        <f t="shared" si="0"/>
        <v>16</v>
      </c>
      <c r="L16" s="78"/>
      <c r="M16" s="75"/>
      <c r="N16" s="79"/>
      <c r="O16" s="74"/>
    </row>
    <row r="17" spans="2:19" x14ac:dyDescent="0.25">
      <c r="B17" s="8"/>
      <c r="C17" s="95" t="s">
        <v>417</v>
      </c>
      <c r="D17" s="10" t="s">
        <v>411</v>
      </c>
      <c r="E17" s="37" t="s">
        <v>9</v>
      </c>
      <c r="F17" s="10" t="s">
        <v>416</v>
      </c>
      <c r="G17" s="38" t="s">
        <v>8</v>
      </c>
      <c r="H17" s="62">
        <v>22</v>
      </c>
      <c r="I17" s="70">
        <v>0</v>
      </c>
      <c r="J17" s="103">
        <f t="shared" si="0"/>
        <v>352</v>
      </c>
      <c r="L17" s="78"/>
      <c r="M17" s="75"/>
      <c r="N17" s="79"/>
      <c r="O17" s="74"/>
    </row>
    <row r="18" spans="2:19" x14ac:dyDescent="0.25">
      <c r="B18" s="8"/>
      <c r="C18" s="95" t="s">
        <v>418</v>
      </c>
      <c r="D18" s="10" t="s">
        <v>411</v>
      </c>
      <c r="E18" s="37" t="s">
        <v>9</v>
      </c>
      <c r="F18" s="10" t="s">
        <v>420</v>
      </c>
      <c r="G18" s="38" t="s">
        <v>8</v>
      </c>
      <c r="H18" s="62">
        <v>6</v>
      </c>
      <c r="I18" s="70">
        <v>0</v>
      </c>
      <c r="J18" s="103">
        <f t="shared" si="0"/>
        <v>96</v>
      </c>
      <c r="L18" s="78"/>
      <c r="M18" s="75"/>
      <c r="N18" s="78"/>
      <c r="O18" s="75"/>
    </row>
    <row r="19" spans="2:19" x14ac:dyDescent="0.25">
      <c r="B19" s="8"/>
      <c r="C19" s="95" t="s">
        <v>419</v>
      </c>
      <c r="D19" s="10" t="s">
        <v>411</v>
      </c>
      <c r="E19" s="37" t="s">
        <v>9</v>
      </c>
      <c r="F19" s="10" t="s">
        <v>416</v>
      </c>
      <c r="G19" s="38" t="s">
        <v>8</v>
      </c>
      <c r="H19" s="62">
        <v>1</v>
      </c>
      <c r="I19" s="70">
        <v>0</v>
      </c>
      <c r="J19" s="103">
        <f t="shared" si="0"/>
        <v>16</v>
      </c>
      <c r="L19" s="78"/>
      <c r="M19" s="75"/>
      <c r="N19" s="79"/>
      <c r="O19" s="74"/>
    </row>
    <row r="20" spans="2:19" x14ac:dyDescent="0.25">
      <c r="B20" s="8"/>
      <c r="C20" s="127"/>
      <c r="D20" s="128"/>
      <c r="E20" s="128"/>
      <c r="F20" s="128"/>
      <c r="G20" s="128"/>
      <c r="H20" s="128"/>
      <c r="I20" s="70"/>
      <c r="J20" s="103"/>
      <c r="L20" s="78"/>
      <c r="M20" s="74"/>
      <c r="N20" s="79"/>
      <c r="O20" s="74"/>
    </row>
    <row r="21" spans="2:19" x14ac:dyDescent="0.25">
      <c r="B21" s="8"/>
      <c r="C21" s="95" t="s">
        <v>421</v>
      </c>
      <c r="D21" s="10" t="s">
        <v>422</v>
      </c>
      <c r="E21" s="37" t="s">
        <v>9</v>
      </c>
      <c r="F21" s="10" t="s">
        <v>423</v>
      </c>
      <c r="G21" s="21">
        <v>34.35</v>
      </c>
      <c r="H21" s="63" t="s">
        <v>8</v>
      </c>
      <c r="I21" s="70">
        <v>0</v>
      </c>
      <c r="J21" s="103">
        <f>17*G21</f>
        <v>583.95000000000005</v>
      </c>
      <c r="L21" s="78"/>
      <c r="M21" s="75"/>
      <c r="N21" s="78"/>
      <c r="O21" s="75"/>
    </row>
    <row r="22" spans="2:19" x14ac:dyDescent="0.25">
      <c r="B22" s="8"/>
      <c r="C22" s="95" t="s">
        <v>424</v>
      </c>
      <c r="D22" s="10" t="s">
        <v>422</v>
      </c>
      <c r="E22" s="37" t="s">
        <v>9</v>
      </c>
      <c r="F22" s="10" t="s">
        <v>429</v>
      </c>
      <c r="G22" s="21">
        <v>13.1</v>
      </c>
      <c r="H22" s="63" t="s">
        <v>8</v>
      </c>
      <c r="I22" s="70">
        <v>0</v>
      </c>
      <c r="J22" s="103">
        <f>15*G22</f>
        <v>196.5</v>
      </c>
      <c r="L22" s="78"/>
      <c r="M22" s="75"/>
      <c r="N22" s="78"/>
      <c r="O22" s="75"/>
    </row>
    <row r="23" spans="2:19" x14ac:dyDescent="0.25">
      <c r="B23" s="8"/>
      <c r="C23" s="95" t="s">
        <v>425</v>
      </c>
      <c r="D23" s="10" t="s">
        <v>422</v>
      </c>
      <c r="E23" s="37" t="s">
        <v>9</v>
      </c>
      <c r="F23" s="10" t="s">
        <v>430</v>
      </c>
      <c r="G23" s="21">
        <v>147.83000000000001</v>
      </c>
      <c r="H23" s="63" t="s">
        <v>8</v>
      </c>
      <c r="I23" s="70">
        <v>0</v>
      </c>
      <c r="J23" s="103">
        <f>15*G23</f>
        <v>2217.4500000000003</v>
      </c>
      <c r="L23" s="78"/>
      <c r="M23" s="75"/>
      <c r="N23" s="78"/>
      <c r="O23" s="75"/>
    </row>
    <row r="24" spans="2:19" x14ac:dyDescent="0.25">
      <c r="C24" s="95" t="s">
        <v>426</v>
      </c>
      <c r="D24" s="10" t="s">
        <v>422</v>
      </c>
      <c r="E24" s="37" t="s">
        <v>9</v>
      </c>
      <c r="F24" s="10" t="s">
        <v>431</v>
      </c>
      <c r="G24" s="21">
        <v>36.049999999999997</v>
      </c>
      <c r="H24" s="63" t="s">
        <v>8</v>
      </c>
      <c r="I24" s="70">
        <v>0</v>
      </c>
      <c r="J24" s="103">
        <f>13*G24</f>
        <v>468.65</v>
      </c>
      <c r="L24" s="78"/>
      <c r="M24" s="75"/>
      <c r="N24" s="78"/>
      <c r="O24" s="75"/>
    </row>
    <row r="25" spans="2:19" x14ac:dyDescent="0.25">
      <c r="C25" s="95" t="s">
        <v>427</v>
      </c>
      <c r="D25" s="10" t="s">
        <v>422</v>
      </c>
      <c r="E25" s="37" t="s">
        <v>9</v>
      </c>
      <c r="F25" s="10" t="s">
        <v>431</v>
      </c>
      <c r="G25" s="21">
        <v>35.54</v>
      </c>
      <c r="H25" s="63" t="s">
        <v>8</v>
      </c>
      <c r="I25" s="70">
        <v>0</v>
      </c>
      <c r="J25" s="103">
        <f>8*G25</f>
        <v>284.32</v>
      </c>
      <c r="L25" s="78"/>
      <c r="M25" s="75"/>
      <c r="N25" s="78"/>
      <c r="O25" s="75"/>
    </row>
    <row r="26" spans="2:19" x14ac:dyDescent="0.25">
      <c r="C26" s="95" t="s">
        <v>428</v>
      </c>
      <c r="D26" s="10" t="s">
        <v>422</v>
      </c>
      <c r="E26" s="37" t="s">
        <v>9</v>
      </c>
      <c r="F26" s="10" t="s">
        <v>431</v>
      </c>
      <c r="G26" s="21">
        <v>14.545</v>
      </c>
      <c r="H26" s="63" t="s">
        <v>8</v>
      </c>
      <c r="I26" s="70">
        <v>0</v>
      </c>
      <c r="J26" s="103">
        <f>8*G26</f>
        <v>116.36</v>
      </c>
      <c r="L26" s="78"/>
      <c r="M26" s="75"/>
      <c r="N26" s="78"/>
      <c r="O26" s="75"/>
    </row>
    <row r="27" spans="2:19" x14ac:dyDescent="0.25">
      <c r="C27" s="95" t="s">
        <v>441</v>
      </c>
      <c r="D27" s="10" t="s">
        <v>422</v>
      </c>
      <c r="E27" s="37" t="s">
        <v>9</v>
      </c>
      <c r="F27" s="10" t="s">
        <v>431</v>
      </c>
      <c r="G27" s="21">
        <v>7.35</v>
      </c>
      <c r="H27" s="63" t="s">
        <v>8</v>
      </c>
      <c r="I27" s="70">
        <v>0</v>
      </c>
      <c r="J27" s="103">
        <f>8*G27</f>
        <v>58.8</v>
      </c>
      <c r="L27" s="78"/>
      <c r="M27" s="75"/>
      <c r="N27" s="78"/>
      <c r="O27" s="75"/>
    </row>
    <row r="28" spans="2:19" x14ac:dyDescent="0.25">
      <c r="C28" s="95" t="s">
        <v>442</v>
      </c>
      <c r="D28" s="10" t="s">
        <v>422</v>
      </c>
      <c r="E28" s="37" t="s">
        <v>9</v>
      </c>
      <c r="F28" s="10" t="s">
        <v>431</v>
      </c>
      <c r="G28" s="21">
        <v>7.35</v>
      </c>
      <c r="H28" s="63" t="s">
        <v>8</v>
      </c>
      <c r="I28" s="70">
        <v>0</v>
      </c>
      <c r="J28" s="103">
        <f>8*G28</f>
        <v>58.8</v>
      </c>
      <c r="L28" s="78"/>
      <c r="M28" s="75"/>
      <c r="N28" s="78"/>
      <c r="O28" s="75"/>
    </row>
    <row r="29" spans="2:19" x14ac:dyDescent="0.25">
      <c r="C29" s="95" t="s">
        <v>443</v>
      </c>
      <c r="D29" s="10" t="s">
        <v>422</v>
      </c>
      <c r="E29" s="37" t="s">
        <v>9</v>
      </c>
      <c r="F29" s="10" t="s">
        <v>431</v>
      </c>
      <c r="G29" s="21">
        <v>10.57</v>
      </c>
      <c r="H29" s="63" t="s">
        <v>8</v>
      </c>
      <c r="I29" s="70">
        <v>0</v>
      </c>
      <c r="J29" s="103">
        <f>8*G29</f>
        <v>84.56</v>
      </c>
      <c r="L29" s="78"/>
      <c r="M29" s="75"/>
      <c r="N29" s="78"/>
      <c r="O29" s="75"/>
    </row>
    <row r="30" spans="2:19" x14ac:dyDescent="0.25">
      <c r="C30" s="127"/>
      <c r="D30" s="128"/>
      <c r="E30" s="128"/>
      <c r="F30" s="128"/>
      <c r="G30" s="128"/>
      <c r="H30" s="128"/>
      <c r="I30" s="70"/>
      <c r="J30" s="103"/>
      <c r="L30" s="78"/>
      <c r="M30" s="75"/>
      <c r="N30" s="78"/>
      <c r="O30" s="75"/>
    </row>
    <row r="31" spans="2:19" ht="30" x14ac:dyDescent="0.25">
      <c r="C31" s="95" t="s">
        <v>438</v>
      </c>
      <c r="D31" s="37" t="s">
        <v>439</v>
      </c>
      <c r="E31" s="37" t="s">
        <v>9</v>
      </c>
      <c r="F31" s="10" t="s">
        <v>440</v>
      </c>
      <c r="G31" s="38" t="s">
        <v>8</v>
      </c>
      <c r="H31" s="62">
        <v>1</v>
      </c>
      <c r="I31" s="70">
        <v>0</v>
      </c>
      <c r="J31" s="103">
        <f>1140*H31</f>
        <v>1140</v>
      </c>
      <c r="L31" s="78"/>
      <c r="M31" s="75"/>
      <c r="N31" s="78"/>
      <c r="O31" s="75"/>
      <c r="P31" s="80"/>
      <c r="Q31" s="80"/>
      <c r="R31" s="80"/>
      <c r="S31" s="80"/>
    </row>
    <row r="32" spans="2:19" x14ac:dyDescent="0.25">
      <c r="C32" s="129"/>
      <c r="D32" s="130"/>
      <c r="E32" s="130"/>
      <c r="F32" s="130"/>
      <c r="G32" s="130"/>
      <c r="H32" s="130"/>
      <c r="I32" s="102"/>
      <c r="J32" s="104"/>
      <c r="L32" s="78"/>
      <c r="M32" s="75"/>
      <c r="N32" s="78"/>
      <c r="O32" s="75"/>
    </row>
    <row r="33" spans="3:15" x14ac:dyDescent="0.25">
      <c r="C33" s="127"/>
      <c r="D33" s="128"/>
      <c r="E33" s="128"/>
      <c r="F33" s="128"/>
      <c r="G33" s="128"/>
      <c r="H33" s="128"/>
      <c r="I33" s="70"/>
      <c r="J33" s="103"/>
      <c r="L33" s="78"/>
      <c r="M33" s="75"/>
      <c r="N33" s="78"/>
      <c r="O33" s="75"/>
    </row>
    <row r="34" spans="3:15" x14ac:dyDescent="0.25">
      <c r="C34" s="95" t="s">
        <v>432</v>
      </c>
      <c r="D34" s="10" t="s">
        <v>433</v>
      </c>
      <c r="E34" s="37" t="s">
        <v>9</v>
      </c>
      <c r="F34" s="10" t="s">
        <v>437</v>
      </c>
      <c r="G34" s="21">
        <f>114.8+104.85</f>
        <v>219.64999999999998</v>
      </c>
      <c r="H34" s="63" t="s">
        <v>8</v>
      </c>
      <c r="I34" s="70">
        <v>0</v>
      </c>
      <c r="J34" s="103">
        <f>20.3*G34</f>
        <v>4458.8949999999995</v>
      </c>
      <c r="L34" s="78"/>
      <c r="M34" s="75"/>
      <c r="N34" s="78"/>
      <c r="O34" s="75"/>
    </row>
    <row r="35" spans="3:15" x14ac:dyDescent="0.25">
      <c r="C35" s="95" t="s">
        <v>434</v>
      </c>
      <c r="D35" s="10" t="s">
        <v>433</v>
      </c>
      <c r="E35" s="37" t="s">
        <v>9</v>
      </c>
      <c r="F35" s="10" t="s">
        <v>437</v>
      </c>
      <c r="G35" s="21">
        <v>20.7</v>
      </c>
      <c r="H35" s="63" t="s">
        <v>8</v>
      </c>
      <c r="I35" s="70">
        <v>0</v>
      </c>
      <c r="J35" s="103">
        <f>20.3*G35</f>
        <v>420.21</v>
      </c>
      <c r="L35" s="78"/>
      <c r="M35" s="75"/>
      <c r="N35" s="78"/>
      <c r="O35" s="75"/>
    </row>
    <row r="36" spans="3:15" x14ac:dyDescent="0.25">
      <c r="C36" s="95" t="s">
        <v>435</v>
      </c>
      <c r="D36" s="10" t="s">
        <v>433</v>
      </c>
      <c r="E36" s="37" t="s">
        <v>9</v>
      </c>
      <c r="F36" s="10" t="s">
        <v>430</v>
      </c>
      <c r="G36" s="21">
        <v>55.174999999999997</v>
      </c>
      <c r="H36" s="63" t="s">
        <v>8</v>
      </c>
      <c r="I36" s="70">
        <v>0</v>
      </c>
      <c r="J36" s="103">
        <f>16*G36</f>
        <v>882.8</v>
      </c>
      <c r="L36" s="78"/>
      <c r="M36" s="75"/>
      <c r="N36" s="78"/>
      <c r="O36" s="75"/>
    </row>
    <row r="37" spans="3:15" ht="15.75" thickBot="1" x14ac:dyDescent="0.3">
      <c r="C37" s="96" t="s">
        <v>436</v>
      </c>
      <c r="D37" s="42" t="s">
        <v>433</v>
      </c>
      <c r="E37" s="43" t="s">
        <v>9</v>
      </c>
      <c r="F37" s="42" t="s">
        <v>431</v>
      </c>
      <c r="G37" s="59">
        <f>286.06+225.23</f>
        <v>511.28999999999996</v>
      </c>
      <c r="H37" s="64" t="s">
        <v>8</v>
      </c>
      <c r="I37" s="72">
        <v>0</v>
      </c>
      <c r="J37" s="100">
        <f>9.5*G37</f>
        <v>4857.2549999999992</v>
      </c>
      <c r="L37" s="78"/>
      <c r="M37" s="75"/>
      <c r="N37" s="78"/>
      <c r="O37" s="75"/>
    </row>
    <row r="38" spans="3:15" ht="15.75" thickBot="1" x14ac:dyDescent="0.3">
      <c r="C38" s="126" t="s">
        <v>648</v>
      </c>
      <c r="D38" s="126"/>
      <c r="E38" s="126"/>
      <c r="F38" s="126"/>
      <c r="G38" s="126"/>
      <c r="H38" s="126"/>
      <c r="I38" s="108">
        <f>SUM(I6:I37)</f>
        <v>0</v>
      </c>
      <c r="J38" s="109">
        <f>SUM(J6:J37)</f>
        <v>24328.549999999996</v>
      </c>
      <c r="L38" s="81"/>
      <c r="M38" s="82"/>
      <c r="N38" s="81"/>
      <c r="O38" s="82"/>
    </row>
  </sheetData>
  <mergeCells count="8">
    <mergeCell ref="I4:J4"/>
    <mergeCell ref="C38:H38"/>
    <mergeCell ref="C33:H33"/>
    <mergeCell ref="C30:H30"/>
    <mergeCell ref="C32:H32"/>
    <mergeCell ref="C4:H4"/>
    <mergeCell ref="C6:H6"/>
    <mergeCell ref="C20:H20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5A51A-7E0B-4227-937E-DD606054E406}">
  <dimension ref="B1:W57"/>
  <sheetViews>
    <sheetView topLeftCell="B26" workbookViewId="0">
      <selection activeCell="J51" sqref="J51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28515625" customWidth="1"/>
  </cols>
  <sheetData>
    <row r="1" spans="2:22" x14ac:dyDescent="0.25">
      <c r="B1" s="8"/>
      <c r="C1" s="8"/>
      <c r="D1" s="8"/>
      <c r="E1" s="8"/>
      <c r="F1" s="8"/>
      <c r="G1" s="8"/>
      <c r="H1" s="8"/>
    </row>
    <row r="2" spans="2:22" x14ac:dyDescent="0.25">
      <c r="B2" s="8"/>
      <c r="C2" s="32"/>
      <c r="D2" s="33"/>
      <c r="E2" s="34"/>
      <c r="F2" s="33"/>
      <c r="G2" s="35"/>
      <c r="H2" s="32"/>
      <c r="O2" s="67" t="str">
        <f>F!O2</f>
        <v>6 [m2]</v>
      </c>
      <c r="P2" s="67" t="str">
        <f>F!P2</f>
        <v>8 [m2]</v>
      </c>
      <c r="Q2" s="67" t="str">
        <f>F!Q2</f>
        <v>10 [m2]</v>
      </c>
      <c r="R2" s="67" t="str">
        <f>F!R2</f>
        <v>12 [m2]</v>
      </c>
      <c r="S2" s="67" t="str">
        <f>F!S2</f>
        <v>14 [m2]</v>
      </c>
      <c r="T2" s="67" t="str">
        <f>F!T2</f>
        <v>16 [m2]</v>
      </c>
      <c r="U2" s="67" t="str">
        <f>F!U2</f>
        <v>20 [m2]</v>
      </c>
      <c r="V2" s="67" t="str">
        <f>F!V2</f>
        <v>24 [m2]</v>
      </c>
    </row>
    <row r="3" spans="2:22" x14ac:dyDescent="0.25">
      <c r="B3" s="8"/>
      <c r="C3" s="32"/>
      <c r="D3" s="33"/>
      <c r="E3" s="34"/>
      <c r="F3" s="33"/>
      <c r="G3" s="35"/>
      <c r="H3" s="32"/>
      <c r="O3" s="67">
        <f>F!O3</f>
        <v>2.8274333882308137E-5</v>
      </c>
      <c r="P3" s="67">
        <f>F!P3</f>
        <v>5.0265482457436686E-5</v>
      </c>
      <c r="Q3" s="67">
        <f>F!Q3</f>
        <v>7.8539816339744827E-5</v>
      </c>
      <c r="R3" s="67">
        <f>F!R3</f>
        <v>1.1309733552923255E-4</v>
      </c>
      <c r="S3" s="67">
        <f>F!S3</f>
        <v>1.5393804002589989E-4</v>
      </c>
      <c r="T3" s="67">
        <f>F!T3</f>
        <v>2.0106192982974675E-4</v>
      </c>
      <c r="U3" s="67">
        <f>F!U3</f>
        <v>3.1415926535897931E-4</v>
      </c>
      <c r="V3" s="67">
        <f>F!V3</f>
        <v>4.523893421169302E-4</v>
      </c>
    </row>
    <row r="4" spans="2:22" ht="15.75" thickBot="1" x14ac:dyDescent="0.3">
      <c r="B4" s="8"/>
      <c r="C4" s="32"/>
      <c r="D4" s="33"/>
      <c r="E4" s="34"/>
      <c r="F4" s="33"/>
      <c r="G4" s="35"/>
      <c r="H4" s="32"/>
    </row>
    <row r="5" spans="2:22" ht="15.75" thickBot="1" x14ac:dyDescent="0.3">
      <c r="B5" s="8"/>
      <c r="C5" s="131" t="s">
        <v>3</v>
      </c>
      <c r="D5" s="132"/>
      <c r="E5" s="132"/>
      <c r="F5" s="132"/>
      <c r="G5" s="132"/>
      <c r="H5" s="135"/>
      <c r="I5" s="124" t="s">
        <v>647</v>
      </c>
      <c r="J5" s="125"/>
      <c r="L5" s="2">
        <v>7</v>
      </c>
    </row>
    <row r="6" spans="2:22" ht="26.25" thickBot="1" x14ac:dyDescent="0.3">
      <c r="B6" s="8"/>
      <c r="C6" s="45" t="s">
        <v>2</v>
      </c>
      <c r="D6" s="46" t="s">
        <v>0</v>
      </c>
      <c r="E6" s="47" t="s">
        <v>4</v>
      </c>
      <c r="F6" s="47" t="s">
        <v>5</v>
      </c>
      <c r="G6" s="47" t="s">
        <v>1</v>
      </c>
      <c r="H6" s="48" t="s">
        <v>6</v>
      </c>
      <c r="I6" s="98" t="s">
        <v>649</v>
      </c>
      <c r="J6" s="99" t="s">
        <v>650</v>
      </c>
      <c r="L6" s="4"/>
    </row>
    <row r="7" spans="2:22" x14ac:dyDescent="0.25">
      <c r="B7" s="8"/>
      <c r="C7" s="133"/>
      <c r="D7" s="134"/>
      <c r="E7" s="134"/>
      <c r="F7" s="134"/>
      <c r="G7" s="134"/>
      <c r="H7" s="134"/>
      <c r="I7" s="68"/>
      <c r="J7" s="69"/>
    </row>
    <row r="8" spans="2:22" ht="30" x14ac:dyDescent="0.25">
      <c r="B8" s="8"/>
      <c r="C8" s="14" t="s">
        <v>272</v>
      </c>
      <c r="D8" s="36" t="s">
        <v>165</v>
      </c>
      <c r="E8" s="11" t="s">
        <v>8</v>
      </c>
      <c r="F8" s="10" t="s">
        <v>269</v>
      </c>
      <c r="G8" s="38">
        <v>1.4</v>
      </c>
      <c r="H8" s="110">
        <v>5</v>
      </c>
      <c r="I8" s="70"/>
      <c r="J8" s="71"/>
      <c r="L8" s="83"/>
      <c r="M8" s="84"/>
      <c r="N8" s="83"/>
      <c r="O8" s="84"/>
    </row>
    <row r="9" spans="2:22" x14ac:dyDescent="0.25">
      <c r="B9" s="8"/>
      <c r="C9" s="150"/>
      <c r="D9" s="151"/>
      <c r="E9" s="151"/>
      <c r="F9" s="151"/>
      <c r="G9" s="151"/>
      <c r="H9" s="151"/>
      <c r="I9" s="70"/>
      <c r="J9" s="71"/>
      <c r="L9" s="78"/>
      <c r="M9" s="75"/>
      <c r="N9" s="78"/>
      <c r="O9" s="75"/>
    </row>
    <row r="10" spans="2:22" x14ac:dyDescent="0.25">
      <c r="B10" s="8"/>
      <c r="C10" s="14" t="s">
        <v>273</v>
      </c>
      <c r="D10" s="36" t="s">
        <v>266</v>
      </c>
      <c r="E10" s="37" t="s">
        <v>9</v>
      </c>
      <c r="F10" s="10" t="s">
        <v>64</v>
      </c>
      <c r="G10" s="38">
        <v>2.2000000000000002</v>
      </c>
      <c r="H10" s="110">
        <v>1</v>
      </c>
      <c r="I10" s="70">
        <f>7860*O3*(2*(0.25+0.3)+2*0.1-8*0.025)*M10*H10</f>
        <v>2.4445989074643619</v>
      </c>
      <c r="J10" s="71">
        <f>1.15*(7860*(R3*G10*O10))*H10</f>
        <v>8.9961239794688499</v>
      </c>
      <c r="L10" s="85">
        <f>(G10-0.5)/0.2</f>
        <v>8.5</v>
      </c>
      <c r="M10" s="86">
        <v>10</v>
      </c>
      <c r="N10" s="85"/>
      <c r="O10" s="86">
        <f>2+2</f>
        <v>4</v>
      </c>
    </row>
    <row r="11" spans="2:22" x14ac:dyDescent="0.25">
      <c r="B11" s="8"/>
      <c r="C11" s="14" t="s">
        <v>274</v>
      </c>
      <c r="D11" s="36" t="s">
        <v>266</v>
      </c>
      <c r="E11" s="37" t="s">
        <v>9</v>
      </c>
      <c r="F11" s="10" t="s">
        <v>264</v>
      </c>
      <c r="G11" s="38">
        <v>1.5</v>
      </c>
      <c r="H11" s="110">
        <v>1</v>
      </c>
      <c r="I11" s="70">
        <f>7860*O3*(2*(0.24+0.24)+2*0.1-8*0.025)*M11*H11</f>
        <v>1.7067745099387541</v>
      </c>
      <c r="J11" s="71">
        <f>1.15*(7860*(R3*G11*O11))*H11</f>
        <v>6.1337208950923978</v>
      </c>
      <c r="L11" s="85">
        <f>(G11-0.5)/0.15</f>
        <v>6.666666666666667</v>
      </c>
      <c r="M11" s="86">
        <v>8</v>
      </c>
      <c r="N11" s="85"/>
      <c r="O11" s="86">
        <f t="shared" ref="O11:O12" si="0">2+2</f>
        <v>4</v>
      </c>
    </row>
    <row r="12" spans="2:22" x14ac:dyDescent="0.25">
      <c r="B12" s="8"/>
      <c r="C12" s="9" t="s">
        <v>275</v>
      </c>
      <c r="D12" s="36" t="s">
        <v>266</v>
      </c>
      <c r="E12" s="37" t="s">
        <v>9</v>
      </c>
      <c r="F12" s="10" t="s">
        <v>264</v>
      </c>
      <c r="G12" s="38">
        <v>1.75</v>
      </c>
      <c r="H12" s="110">
        <v>1</v>
      </c>
      <c r="I12" s="70">
        <f>7860*O3*(2*(0.24+0.24)+2*0.1-8*0.025)*M12*H12</f>
        <v>2.1334681374234425</v>
      </c>
      <c r="J12" s="71">
        <f>1.15*(7860*(R3*G12*O12))*H12</f>
        <v>7.1560077109411298</v>
      </c>
      <c r="L12" s="85">
        <f>(G12-0.5)/0.15</f>
        <v>8.3333333333333339</v>
      </c>
      <c r="M12" s="86">
        <v>10</v>
      </c>
      <c r="N12" s="85"/>
      <c r="O12" s="86">
        <f t="shared" si="0"/>
        <v>4</v>
      </c>
    </row>
    <row r="13" spans="2:22" x14ac:dyDescent="0.25">
      <c r="B13" s="8"/>
      <c r="C13" s="150"/>
      <c r="D13" s="151"/>
      <c r="E13" s="151"/>
      <c r="F13" s="151"/>
      <c r="G13" s="151"/>
      <c r="H13" s="151"/>
      <c r="I13" s="70"/>
      <c r="J13" s="71"/>
      <c r="L13" s="85"/>
      <c r="M13" s="86"/>
      <c r="N13" s="85"/>
      <c r="O13" s="86"/>
    </row>
    <row r="14" spans="2:22" x14ac:dyDescent="0.25">
      <c r="B14" s="8"/>
      <c r="C14" s="9" t="s">
        <v>276</v>
      </c>
      <c r="D14" s="10" t="s">
        <v>7</v>
      </c>
      <c r="E14" s="37" t="s">
        <v>9</v>
      </c>
      <c r="F14" s="10" t="s">
        <v>270</v>
      </c>
      <c r="G14" s="20">
        <v>2.2000000000000002</v>
      </c>
      <c r="H14" s="62">
        <v>1</v>
      </c>
      <c r="I14" s="93">
        <f>7860*O3*(2*(0.16+0.35)+2*0.1-6*0.025)*M14*2</f>
        <v>6.1826128732416841</v>
      </c>
      <c r="J14" s="87">
        <f>1.15*(7860*(T3*G14*O14))</f>
        <v>31.986218593667022</v>
      </c>
      <c r="L14" s="78">
        <f>(G14-2*0.25)/0.15</f>
        <v>11.333333333333336</v>
      </c>
      <c r="M14" s="75">
        <v>13</v>
      </c>
      <c r="N14" s="78"/>
      <c r="O14" s="75">
        <f>4+4</f>
        <v>8</v>
      </c>
      <c r="P14" s="6"/>
      <c r="Q14" s="6"/>
      <c r="R14" s="6"/>
    </row>
    <row r="15" spans="2:22" x14ac:dyDescent="0.25">
      <c r="B15" s="8"/>
      <c r="C15" s="150"/>
      <c r="D15" s="151"/>
      <c r="E15" s="151"/>
      <c r="F15" s="151"/>
      <c r="G15" s="151"/>
      <c r="H15" s="151"/>
      <c r="I15" s="70"/>
      <c r="J15" s="71"/>
      <c r="L15" s="85"/>
      <c r="M15" s="86"/>
      <c r="N15" s="85"/>
      <c r="O15" s="86"/>
      <c r="P15" s="6"/>
      <c r="Q15" s="6"/>
      <c r="R15" s="6"/>
    </row>
    <row r="16" spans="2:22" x14ac:dyDescent="0.25">
      <c r="B16" s="8"/>
      <c r="C16" s="9" t="s">
        <v>277</v>
      </c>
      <c r="D16" s="10" t="s">
        <v>52</v>
      </c>
      <c r="E16" s="37" t="s">
        <v>9</v>
      </c>
      <c r="F16" s="10" t="s">
        <v>155</v>
      </c>
      <c r="G16" s="21">
        <v>6.5</v>
      </c>
      <c r="H16" s="62">
        <v>1</v>
      </c>
      <c r="I16" s="70">
        <f>7860*O3*(2*(0.16+0.68)+2*0.1-6*0.025)*M16*2</f>
        <v>24.605999184950374</v>
      </c>
      <c r="J16" s="71">
        <f>1.15*(7860*(T3*G16*O16+U3*G16*Q16))</f>
        <v>107.79446536004973</v>
      </c>
      <c r="L16" s="85">
        <f>(G16-1*0.4)/0.2</f>
        <v>30.499999999999996</v>
      </c>
      <c r="M16" s="86">
        <v>32</v>
      </c>
      <c r="N16" s="85"/>
      <c r="O16" s="86">
        <f>4+2</f>
        <v>6</v>
      </c>
      <c r="P16" s="6"/>
      <c r="Q16" s="6">
        <v>2</v>
      </c>
      <c r="R16" s="6"/>
    </row>
    <row r="17" spans="2:20" x14ac:dyDescent="0.25">
      <c r="B17" s="8"/>
      <c r="C17" s="9" t="s">
        <v>278</v>
      </c>
      <c r="D17" s="10" t="s">
        <v>52</v>
      </c>
      <c r="E17" s="37" t="s">
        <v>9</v>
      </c>
      <c r="F17" s="10" t="s">
        <v>155</v>
      </c>
      <c r="G17" s="21">
        <v>9.4499999999999993</v>
      </c>
      <c r="H17" s="62">
        <v>1</v>
      </c>
      <c r="I17" s="70">
        <f>7860*O3*(2*(0.16+0.68)+2*0.1-6*0.025)*M17*2</f>
        <v>32.295373930247365</v>
      </c>
      <c r="J17" s="71">
        <f>1.15*(7860*(T3*G17*O17))</f>
        <v>137.39534805006969</v>
      </c>
      <c r="L17" s="85">
        <f>(G17-2*0.8)/0.2</f>
        <v>39.249999999999993</v>
      </c>
      <c r="M17" s="86">
        <v>42</v>
      </c>
      <c r="N17" s="85"/>
      <c r="O17" s="86">
        <f t="shared" ref="O17:O23" si="1">4+4</f>
        <v>8</v>
      </c>
      <c r="P17" s="6"/>
      <c r="Q17" s="6"/>
      <c r="R17" s="6"/>
    </row>
    <row r="18" spans="2:20" x14ac:dyDescent="0.25">
      <c r="B18" s="8"/>
      <c r="C18" s="9" t="s">
        <v>279</v>
      </c>
      <c r="D18" s="10" t="s">
        <v>52</v>
      </c>
      <c r="E18" s="37" t="s">
        <v>9</v>
      </c>
      <c r="F18" s="10" t="s">
        <v>155</v>
      </c>
      <c r="G18" s="21">
        <v>11.9</v>
      </c>
      <c r="H18" s="62">
        <v>1</v>
      </c>
      <c r="I18" s="70">
        <f>7860*O3*(2*(0.16+0.68)+2*0.1-6*0.025)*M18*2</f>
        <v>44.598373522722554</v>
      </c>
      <c r="J18" s="71">
        <f>1.15*(7860*(T3*G18*O18+T3*2*Q18))</f>
        <v>180.28595934612321</v>
      </c>
      <c r="L18" s="85">
        <f>(G18-2*0.4)/0.2</f>
        <v>55.499999999999993</v>
      </c>
      <c r="M18" s="86">
        <v>58</v>
      </c>
      <c r="N18" s="85"/>
      <c r="O18" s="86">
        <f t="shared" si="1"/>
        <v>8</v>
      </c>
      <c r="P18" s="6"/>
      <c r="Q18" s="6">
        <v>2</v>
      </c>
      <c r="R18" s="6"/>
    </row>
    <row r="19" spans="2:20" x14ac:dyDescent="0.25">
      <c r="B19" s="8"/>
      <c r="C19" s="9" t="s">
        <v>280</v>
      </c>
      <c r="D19" s="10" t="s">
        <v>52</v>
      </c>
      <c r="E19" s="37" t="s">
        <v>9</v>
      </c>
      <c r="F19" s="10" t="s">
        <v>155</v>
      </c>
      <c r="G19" s="21">
        <v>22.1</v>
      </c>
      <c r="H19" s="62">
        <v>1</v>
      </c>
      <c r="I19" s="70">
        <f>7860*O3*(2*(0.16+0.68)+2*0.1-6*0.025)*M19*2</f>
        <v>76.124809978440226</v>
      </c>
      <c r="J19" s="71">
        <f>1.15*(7860*(T3*G19*O19+T3*(2+2)*Q19))</f>
        <v>335.85529523350374</v>
      </c>
      <c r="L19" s="85">
        <f>(G19-4*0.8)/0.2</f>
        <v>94.5</v>
      </c>
      <c r="M19" s="86">
        <v>99</v>
      </c>
      <c r="N19" s="85"/>
      <c r="O19" s="86">
        <f t="shared" si="1"/>
        <v>8</v>
      </c>
      <c r="P19" s="6"/>
      <c r="Q19" s="6">
        <v>2</v>
      </c>
      <c r="R19" s="6"/>
    </row>
    <row r="20" spans="2:20" x14ac:dyDescent="0.25">
      <c r="B20" s="8"/>
      <c r="C20" s="9" t="s">
        <v>281</v>
      </c>
      <c r="D20" s="10" t="s">
        <v>52</v>
      </c>
      <c r="E20" s="37" t="s">
        <v>9</v>
      </c>
      <c r="F20" s="10" t="s">
        <v>155</v>
      </c>
      <c r="G20" s="21">
        <v>18.149999999999999</v>
      </c>
      <c r="H20" s="62">
        <v>1</v>
      </c>
      <c r="I20" s="70">
        <f>7860*O3*(2*(0.16+0.68)+2*0.1-6*0.025)*M20*2</f>
        <v>67.666497758613531</v>
      </c>
      <c r="J20" s="71">
        <f>1.15*(7860*(T3*G20*O20+T3*2*Q20+T3*2.4*S20))</f>
        <v>279.87941269458639</v>
      </c>
      <c r="L20" s="85">
        <f>(G20-3*0.4)/0.2</f>
        <v>84.749999999999986</v>
      </c>
      <c r="M20" s="86">
        <v>88</v>
      </c>
      <c r="N20" s="85"/>
      <c r="O20" s="86">
        <f t="shared" si="1"/>
        <v>8</v>
      </c>
      <c r="P20" s="6"/>
      <c r="Q20" s="6">
        <v>2</v>
      </c>
      <c r="R20" s="6"/>
      <c r="S20">
        <v>2</v>
      </c>
    </row>
    <row r="21" spans="2:20" x14ac:dyDescent="0.25">
      <c r="B21" s="8"/>
      <c r="C21" s="9" t="s">
        <v>282</v>
      </c>
      <c r="D21" s="10" t="s">
        <v>52</v>
      </c>
      <c r="E21" s="37" t="s">
        <v>9</v>
      </c>
      <c r="F21" s="10" t="s">
        <v>155</v>
      </c>
      <c r="G21" s="21">
        <v>11.18</v>
      </c>
      <c r="H21" s="62">
        <v>1</v>
      </c>
      <c r="I21" s="70">
        <f>7860*O3*(2*(0.16+0.68)+2*0.1-6*0.025)*M21*2</f>
        <v>38.446873726484959</v>
      </c>
      <c r="J21" s="71">
        <f>1.15*(7860*(T3*G21*O21+T3*2*Q21))</f>
        <v>169.81774235183218</v>
      </c>
      <c r="L21" s="85">
        <f>(G21-2*0.8)/0.2</f>
        <v>47.9</v>
      </c>
      <c r="M21" s="86">
        <v>50</v>
      </c>
      <c r="N21" s="85"/>
      <c r="O21" s="86">
        <f t="shared" si="1"/>
        <v>8</v>
      </c>
      <c r="P21" s="6"/>
      <c r="Q21" s="6">
        <v>2</v>
      </c>
      <c r="R21" s="6"/>
    </row>
    <row r="22" spans="2:20" x14ac:dyDescent="0.25">
      <c r="B22" s="8"/>
      <c r="C22" s="9" t="s">
        <v>283</v>
      </c>
      <c r="D22" s="10" t="s">
        <v>52</v>
      </c>
      <c r="E22" s="37" t="s">
        <v>9</v>
      </c>
      <c r="F22" s="10" t="s">
        <v>155</v>
      </c>
      <c r="G22" s="21">
        <v>11.85</v>
      </c>
      <c r="H22" s="62">
        <v>1</v>
      </c>
      <c r="I22" s="70">
        <f>7860*O3*(2*(0.16+0.68)+2*0.1-6*0.025)*M22*2</f>
        <v>44.598373522722554</v>
      </c>
      <c r="J22" s="71">
        <f>1.15*(7860*(T3*G22*O22+T3*2*Q22))</f>
        <v>179.55899983263078</v>
      </c>
      <c r="L22" s="85">
        <f>(G22-2*0.4)/0.2</f>
        <v>55.249999999999993</v>
      </c>
      <c r="M22" s="86">
        <v>58</v>
      </c>
      <c r="N22" s="85"/>
      <c r="O22" s="86">
        <f t="shared" si="1"/>
        <v>8</v>
      </c>
      <c r="P22" s="6"/>
      <c r="Q22" s="6">
        <v>2</v>
      </c>
      <c r="R22" s="6"/>
    </row>
    <row r="23" spans="2:20" x14ac:dyDescent="0.25">
      <c r="B23" s="8"/>
      <c r="C23" s="9" t="s">
        <v>284</v>
      </c>
      <c r="D23" s="10" t="s">
        <v>52</v>
      </c>
      <c r="E23" s="37" t="s">
        <v>9</v>
      </c>
      <c r="F23" s="10" t="s">
        <v>155</v>
      </c>
      <c r="G23" s="21">
        <v>15.8</v>
      </c>
      <c r="H23" s="62">
        <v>1</v>
      </c>
      <c r="I23" s="70">
        <f>7860*O3*(2*(0.16+0.68)+2*0.1-6*0.025)*M23*2</f>
        <v>53.825623217078942</v>
      </c>
      <c r="J23" s="71">
        <f>1.15*(7860*(T3*G23*O23+T3*2*Q23))</f>
        <v>236.98880139853293</v>
      </c>
      <c r="L23" s="85">
        <f>(G23-3*0.8)/0.2</f>
        <v>67</v>
      </c>
      <c r="M23" s="86">
        <v>70</v>
      </c>
      <c r="N23" s="85"/>
      <c r="O23" s="86">
        <f t="shared" si="1"/>
        <v>8</v>
      </c>
      <c r="P23" s="6"/>
      <c r="Q23" s="6">
        <v>2</v>
      </c>
      <c r="R23" s="6"/>
    </row>
    <row r="24" spans="2:20" x14ac:dyDescent="0.25">
      <c r="B24" s="8"/>
      <c r="C24" s="9" t="s">
        <v>357</v>
      </c>
      <c r="D24" s="10" t="s">
        <v>52</v>
      </c>
      <c r="E24" s="37" t="s">
        <v>9</v>
      </c>
      <c r="F24" s="10" t="s">
        <v>155</v>
      </c>
      <c r="G24" s="21">
        <v>6.2</v>
      </c>
      <c r="H24" s="62">
        <v>1</v>
      </c>
      <c r="I24" s="70">
        <f>7860*O3*(2*(0.16+0.68)+2*0.1-6*0.025)*M24*2</f>
        <v>23.068124235890977</v>
      </c>
      <c r="J24" s="71">
        <f>1.15*(7860*(T3*G24*O24+U3*G24*Q24))</f>
        <v>102.8193361895859</v>
      </c>
      <c r="L24" s="85">
        <f t="shared" ref="L24:L25" si="2">(G24-1*0.4)/0.2</f>
        <v>28.999999999999996</v>
      </c>
      <c r="M24" s="86">
        <v>30</v>
      </c>
      <c r="N24" s="85"/>
      <c r="O24" s="86">
        <f>4+2</f>
        <v>6</v>
      </c>
      <c r="P24" s="6"/>
      <c r="Q24" s="6">
        <v>2</v>
      </c>
      <c r="R24" s="6"/>
    </row>
    <row r="25" spans="2:20" x14ac:dyDescent="0.25">
      <c r="B25" s="8"/>
      <c r="C25" s="9" t="s">
        <v>358</v>
      </c>
      <c r="D25" s="10" t="s">
        <v>52</v>
      </c>
      <c r="E25" s="37" t="s">
        <v>9</v>
      </c>
      <c r="F25" s="10" t="s">
        <v>155</v>
      </c>
      <c r="G25" s="21">
        <v>6.2</v>
      </c>
      <c r="H25" s="62">
        <v>1</v>
      </c>
      <c r="I25" s="70">
        <f>7860*O3*(2*(0.16+0.68)+2*0.1-6*0.025)*M25*2</f>
        <v>23.068124235890977</v>
      </c>
      <c r="J25" s="71">
        <f>1.15*(7860*(T3*G25*O25+U3*G25*Q25))</f>
        <v>115.49569270611019</v>
      </c>
      <c r="L25" s="85">
        <f t="shared" si="2"/>
        <v>28.999999999999996</v>
      </c>
      <c r="M25" s="86">
        <v>30</v>
      </c>
      <c r="N25" s="85"/>
      <c r="O25" s="86">
        <f>4</f>
        <v>4</v>
      </c>
      <c r="P25" s="6"/>
      <c r="Q25" s="6">
        <v>4</v>
      </c>
      <c r="R25" s="6"/>
    </row>
    <row r="26" spans="2:20" x14ac:dyDescent="0.25">
      <c r="B26" s="8"/>
      <c r="C26" s="127"/>
      <c r="D26" s="128"/>
      <c r="E26" s="128"/>
      <c r="F26" s="128"/>
      <c r="G26" s="128"/>
      <c r="H26" s="128"/>
      <c r="I26" s="70"/>
      <c r="J26" s="71"/>
      <c r="L26" s="85"/>
      <c r="M26" s="86"/>
      <c r="N26" s="85"/>
      <c r="O26" s="86"/>
      <c r="P26" s="6"/>
      <c r="Q26" s="6"/>
      <c r="R26" s="6"/>
    </row>
    <row r="27" spans="2:20" x14ac:dyDescent="0.25">
      <c r="B27" s="8"/>
      <c r="C27" s="9" t="s">
        <v>285</v>
      </c>
      <c r="D27" s="10" t="s">
        <v>10</v>
      </c>
      <c r="E27" s="37" t="s">
        <v>9</v>
      </c>
      <c r="F27" s="10" t="s">
        <v>89</v>
      </c>
      <c r="G27" s="21">
        <v>3.14</v>
      </c>
      <c r="H27" s="62">
        <v>7</v>
      </c>
      <c r="I27" s="70">
        <f>7860*O3*(2*(0.54+0.4)+2*0.1-6*0.025)*M27*2*H27</f>
        <v>78.062710203266505</v>
      </c>
      <c r="J27" s="71">
        <f>1.15*(7860*(T3*G27*O27))*H27</f>
        <v>319.57140213127332</v>
      </c>
      <c r="L27" s="78">
        <f>(G27-0.24)/0.25</f>
        <v>11.600000000000001</v>
      </c>
      <c r="M27" s="75">
        <v>13</v>
      </c>
      <c r="N27" s="78"/>
      <c r="O27" s="75">
        <f>4+4</f>
        <v>8</v>
      </c>
      <c r="P27" s="80"/>
      <c r="Q27" s="80"/>
      <c r="R27" s="80"/>
      <c r="S27" s="80"/>
      <c r="T27" s="80"/>
    </row>
    <row r="28" spans="2:20" x14ac:dyDescent="0.25">
      <c r="B28" s="8"/>
      <c r="C28" s="9" t="s">
        <v>286</v>
      </c>
      <c r="D28" s="10" t="s">
        <v>10</v>
      </c>
      <c r="E28" s="37" t="s">
        <v>9</v>
      </c>
      <c r="F28" s="10" t="s">
        <v>89</v>
      </c>
      <c r="G28" s="21">
        <v>3.14</v>
      </c>
      <c r="H28" s="62">
        <v>13</v>
      </c>
      <c r="I28" s="70">
        <f>7860*O3*(2*(0.54+0.4)+2*0.1-6*0.025)*M28*2*H28</f>
        <v>144.97360466320924</v>
      </c>
      <c r="J28" s="71">
        <f>1.15*(7860*(T3*G28*O28))*H28</f>
        <v>593.48974681522179</v>
      </c>
      <c r="L28" s="78">
        <f t="shared" ref="L28:L29" si="3">(G28-0.24)/0.25</f>
        <v>11.600000000000001</v>
      </c>
      <c r="M28" s="75">
        <v>13</v>
      </c>
      <c r="N28" s="78"/>
      <c r="O28" s="75">
        <f t="shared" ref="O28:O29" si="4">4+4</f>
        <v>8</v>
      </c>
      <c r="P28" s="80"/>
      <c r="Q28" s="80"/>
      <c r="R28" s="80"/>
      <c r="S28" s="80"/>
      <c r="T28" s="80"/>
    </row>
    <row r="29" spans="2:20" x14ac:dyDescent="0.25">
      <c r="B29" s="8"/>
      <c r="C29" s="9" t="s">
        <v>287</v>
      </c>
      <c r="D29" s="10" t="s">
        <v>10</v>
      </c>
      <c r="E29" s="37" t="s">
        <v>9</v>
      </c>
      <c r="F29" s="10" t="s">
        <v>89</v>
      </c>
      <c r="G29" s="21">
        <v>3.14</v>
      </c>
      <c r="H29" s="62">
        <v>6</v>
      </c>
      <c r="I29" s="70">
        <f>7860*O3*(2*(0.54+0.4)+2*0.1-6*0.025)*M29*2*H29</f>
        <v>66.910894459942725</v>
      </c>
      <c r="J29" s="71">
        <f>1.15*(7860*(T3*G29*O29))*H29</f>
        <v>273.91834468394853</v>
      </c>
      <c r="L29" s="78">
        <f t="shared" si="3"/>
        <v>11.600000000000001</v>
      </c>
      <c r="M29" s="75">
        <v>13</v>
      </c>
      <c r="N29" s="78"/>
      <c r="O29" s="75">
        <f t="shared" si="4"/>
        <v>8</v>
      </c>
      <c r="P29" s="80"/>
      <c r="Q29" s="80"/>
      <c r="R29" s="80"/>
      <c r="S29" s="80"/>
      <c r="T29" s="80"/>
    </row>
    <row r="30" spans="2:20" x14ac:dyDescent="0.25">
      <c r="B30" s="8"/>
      <c r="C30" s="127"/>
      <c r="D30" s="128"/>
      <c r="E30" s="128"/>
      <c r="F30" s="128"/>
      <c r="G30" s="128"/>
      <c r="H30" s="128"/>
      <c r="I30" s="70"/>
      <c r="J30" s="87"/>
      <c r="L30" s="78"/>
      <c r="M30" s="75"/>
      <c r="N30" s="78"/>
      <c r="O30" s="75"/>
    </row>
    <row r="31" spans="2:20" x14ac:dyDescent="0.25">
      <c r="B31" s="8"/>
      <c r="C31" s="95" t="s">
        <v>288</v>
      </c>
      <c r="D31" s="10" t="s">
        <v>15</v>
      </c>
      <c r="E31" s="37" t="s">
        <v>9</v>
      </c>
      <c r="F31" s="10" t="s">
        <v>16</v>
      </c>
      <c r="G31" s="38">
        <v>6.5</v>
      </c>
      <c r="H31" s="62">
        <v>1</v>
      </c>
      <c r="I31" s="107">
        <v>0</v>
      </c>
      <c r="J31" s="103">
        <f>16.4*(G31*3.14-1.22*2.26)</f>
        <v>289.50591999999995</v>
      </c>
      <c r="L31" s="78"/>
      <c r="M31" s="75"/>
      <c r="N31" s="78"/>
      <c r="O31" s="75"/>
    </row>
    <row r="32" spans="2:20" x14ac:dyDescent="0.25">
      <c r="B32" s="8"/>
      <c r="C32" s="95" t="s">
        <v>289</v>
      </c>
      <c r="D32" s="10" t="s">
        <v>15</v>
      </c>
      <c r="E32" s="37" t="s">
        <v>9</v>
      </c>
      <c r="F32" s="10" t="s">
        <v>16</v>
      </c>
      <c r="G32" s="38">
        <v>2.95</v>
      </c>
      <c r="H32" s="62">
        <v>1</v>
      </c>
      <c r="I32" s="107">
        <v>0</v>
      </c>
      <c r="J32" s="103">
        <f>16.4*(G32*3.14)</f>
        <v>151.91320000000002</v>
      </c>
      <c r="L32" s="78"/>
      <c r="M32" s="75"/>
      <c r="N32" s="78"/>
      <c r="O32" s="75"/>
    </row>
    <row r="33" spans="2:23" x14ac:dyDescent="0.25">
      <c r="B33" s="8"/>
      <c r="C33" s="95" t="s">
        <v>290</v>
      </c>
      <c r="D33" s="10" t="s">
        <v>15</v>
      </c>
      <c r="E33" s="37" t="s">
        <v>9</v>
      </c>
      <c r="F33" s="10" t="s">
        <v>16</v>
      </c>
      <c r="G33" s="38">
        <v>4.6500000000000004</v>
      </c>
      <c r="H33" s="62">
        <v>1</v>
      </c>
      <c r="I33" s="107">
        <v>0</v>
      </c>
      <c r="J33" s="103">
        <f>16.4*(G33*3.14)</f>
        <v>239.4564</v>
      </c>
      <c r="L33" s="78"/>
      <c r="M33" s="75"/>
      <c r="N33" s="78"/>
      <c r="O33" s="75"/>
    </row>
    <row r="34" spans="2:23" x14ac:dyDescent="0.25">
      <c r="B34" s="8"/>
      <c r="C34" s="95" t="s">
        <v>291</v>
      </c>
      <c r="D34" s="10" t="s">
        <v>15</v>
      </c>
      <c r="E34" s="37" t="s">
        <v>9</v>
      </c>
      <c r="F34" s="10" t="s">
        <v>16</v>
      </c>
      <c r="G34" s="39">
        <v>6.5</v>
      </c>
      <c r="H34" s="62">
        <v>1</v>
      </c>
      <c r="I34" s="107">
        <v>0</v>
      </c>
      <c r="J34" s="103">
        <f>16.4*(G34*3.14)</f>
        <v>334.72399999999999</v>
      </c>
      <c r="L34" s="78"/>
      <c r="M34" s="75"/>
      <c r="N34" s="78"/>
      <c r="O34" s="75"/>
    </row>
    <row r="35" spans="2:23" x14ac:dyDescent="0.25">
      <c r="B35" s="8"/>
      <c r="C35" s="95" t="s">
        <v>292</v>
      </c>
      <c r="D35" s="10" t="s">
        <v>15</v>
      </c>
      <c r="E35" s="37" t="s">
        <v>9</v>
      </c>
      <c r="F35" s="10" t="s">
        <v>16</v>
      </c>
      <c r="G35" s="38">
        <v>11.18</v>
      </c>
      <c r="H35" s="62">
        <v>1</v>
      </c>
      <c r="I35" s="107">
        <v>0</v>
      </c>
      <c r="J35" s="103">
        <f>16.4*(G35*3.14-1.22*2.26)</f>
        <v>530.50720000000001</v>
      </c>
      <c r="L35" s="78"/>
      <c r="M35" s="75"/>
      <c r="N35" s="78"/>
      <c r="O35" s="75"/>
    </row>
    <row r="36" spans="2:23" x14ac:dyDescent="0.25">
      <c r="B36" s="8"/>
      <c r="C36" s="95" t="s">
        <v>293</v>
      </c>
      <c r="D36" s="10" t="s">
        <v>15</v>
      </c>
      <c r="E36" s="37" t="s">
        <v>9</v>
      </c>
      <c r="F36" s="10" t="s">
        <v>16</v>
      </c>
      <c r="G36" s="38">
        <v>4.1500000000000004</v>
      </c>
      <c r="H36" s="62">
        <v>1</v>
      </c>
      <c r="I36" s="107">
        <v>0</v>
      </c>
      <c r="J36" s="103">
        <f>16.4*(G36*3.14-1.18*2.33-1.18*2.33)</f>
        <v>123.52808000000005</v>
      </c>
      <c r="L36" s="78"/>
      <c r="M36" s="75"/>
      <c r="N36" s="78"/>
      <c r="O36" s="75"/>
    </row>
    <row r="37" spans="2:23" x14ac:dyDescent="0.25">
      <c r="B37" s="8"/>
      <c r="C37" s="95" t="s">
        <v>294</v>
      </c>
      <c r="D37" s="10" t="s">
        <v>15</v>
      </c>
      <c r="E37" s="37" t="s">
        <v>9</v>
      </c>
      <c r="F37" s="10" t="s">
        <v>16</v>
      </c>
      <c r="G37" s="38">
        <v>2.2000000000000002</v>
      </c>
      <c r="H37" s="62">
        <v>1</v>
      </c>
      <c r="I37" s="107">
        <v>0</v>
      </c>
      <c r="J37" s="103">
        <f>16.4*(G37*3.14)</f>
        <v>113.29120000000002</v>
      </c>
      <c r="L37" s="78"/>
      <c r="M37" s="75"/>
      <c r="N37" s="78"/>
      <c r="O37" s="75"/>
    </row>
    <row r="38" spans="2:23" x14ac:dyDescent="0.25">
      <c r="B38" s="8"/>
      <c r="C38" s="95" t="s">
        <v>295</v>
      </c>
      <c r="D38" s="10" t="s">
        <v>15</v>
      </c>
      <c r="E38" s="37" t="s">
        <v>9</v>
      </c>
      <c r="F38" s="10" t="s">
        <v>16</v>
      </c>
      <c r="G38" s="38">
        <v>2.2000000000000002</v>
      </c>
      <c r="H38" s="62">
        <v>1</v>
      </c>
      <c r="I38" s="107">
        <v>0</v>
      </c>
      <c r="J38" s="103">
        <f>16.4*(G38*3.14)</f>
        <v>113.29120000000002</v>
      </c>
      <c r="L38" s="78"/>
      <c r="M38" s="75"/>
      <c r="N38" s="78"/>
      <c r="O38" s="75"/>
    </row>
    <row r="39" spans="2:23" x14ac:dyDescent="0.25">
      <c r="B39" s="8"/>
      <c r="C39" s="95" t="s">
        <v>296</v>
      </c>
      <c r="D39" s="10" t="s">
        <v>15</v>
      </c>
      <c r="E39" s="37" t="s">
        <v>9</v>
      </c>
      <c r="F39" s="10" t="s">
        <v>16</v>
      </c>
      <c r="G39" s="38">
        <v>9.24</v>
      </c>
      <c r="H39" s="62">
        <v>1</v>
      </c>
      <c r="I39" s="107">
        <v>0</v>
      </c>
      <c r="J39" s="103">
        <f>16.4*(G39*3.14-1.7*3.14)</f>
        <v>388.27983999999998</v>
      </c>
      <c r="L39" s="78"/>
      <c r="M39" s="75"/>
      <c r="N39" s="78"/>
      <c r="O39" s="75"/>
    </row>
    <row r="40" spans="2:23" x14ac:dyDescent="0.25">
      <c r="B40" s="8"/>
      <c r="C40" s="95" t="s">
        <v>297</v>
      </c>
      <c r="D40" s="10" t="s">
        <v>15</v>
      </c>
      <c r="E40" s="37" t="s">
        <v>9</v>
      </c>
      <c r="F40" s="10" t="s">
        <v>16</v>
      </c>
      <c r="G40" s="38">
        <v>6.5</v>
      </c>
      <c r="H40" s="62">
        <v>1</v>
      </c>
      <c r="I40" s="107">
        <v>0</v>
      </c>
      <c r="J40" s="103">
        <f>16.4*(G40*3.14-1*2.23)</f>
        <v>298.15199999999999</v>
      </c>
      <c r="L40" s="78"/>
      <c r="M40" s="75"/>
      <c r="N40" s="78"/>
      <c r="O40" s="75"/>
    </row>
    <row r="41" spans="2:23" x14ac:dyDescent="0.25">
      <c r="B41" s="8"/>
      <c r="C41" s="95" t="s">
        <v>298</v>
      </c>
      <c r="D41" s="10" t="s">
        <v>15</v>
      </c>
      <c r="E41" s="37" t="s">
        <v>9</v>
      </c>
      <c r="F41" s="10" t="s">
        <v>16</v>
      </c>
      <c r="G41" s="38">
        <v>6.5</v>
      </c>
      <c r="H41" s="62">
        <v>1</v>
      </c>
      <c r="I41" s="107">
        <v>0</v>
      </c>
      <c r="J41" s="103">
        <f>16.4*(G41*3.14-0.9*2.23*4)</f>
        <v>203.06479999999999</v>
      </c>
      <c r="L41" s="78"/>
      <c r="M41" s="75"/>
      <c r="N41" s="78"/>
      <c r="O41" s="75"/>
    </row>
    <row r="42" spans="2:23" x14ac:dyDescent="0.25">
      <c r="B42" s="8"/>
      <c r="C42" s="127"/>
      <c r="D42" s="128"/>
      <c r="E42" s="128"/>
      <c r="F42" s="128"/>
      <c r="G42" s="128"/>
      <c r="H42" s="128"/>
      <c r="I42" s="70"/>
      <c r="J42" s="87"/>
      <c r="L42" s="78"/>
      <c r="M42" s="75"/>
      <c r="N42" s="78"/>
      <c r="O42" s="75"/>
    </row>
    <row r="43" spans="2:23" x14ac:dyDescent="0.25">
      <c r="B43" s="8"/>
      <c r="C43" s="9" t="s">
        <v>299</v>
      </c>
      <c r="D43" s="10" t="s">
        <v>17</v>
      </c>
      <c r="E43" s="37" t="s">
        <v>9</v>
      </c>
      <c r="F43" s="10" t="s">
        <v>60</v>
      </c>
      <c r="G43" s="40" t="s">
        <v>8</v>
      </c>
      <c r="H43" s="62">
        <v>1</v>
      </c>
      <c r="I43" s="70">
        <v>0</v>
      </c>
      <c r="J43" s="71">
        <f>1.15*(6628+11+56+149+181+178+280+4545+6+347+53+68+348+48+223+30+161+57+192+281+54+89+31+330+180+162+306+163+30+93+57+70+24+4+3+11+11+38+63+46+46)</f>
        <v>18000.949999999997</v>
      </c>
      <c r="L43" s="78"/>
      <c r="M43" s="75"/>
      <c r="N43" s="78"/>
      <c r="O43" s="75"/>
    </row>
    <row r="44" spans="2:23" x14ac:dyDescent="0.25">
      <c r="B44" s="8"/>
      <c r="C44" s="9" t="s">
        <v>304</v>
      </c>
      <c r="D44" s="10" t="s">
        <v>17</v>
      </c>
      <c r="E44" s="37" t="s">
        <v>9</v>
      </c>
      <c r="F44" s="10" t="s">
        <v>303</v>
      </c>
      <c r="G44" s="40" t="s">
        <v>8</v>
      </c>
      <c r="H44" s="62">
        <v>7</v>
      </c>
      <c r="I44" s="70"/>
      <c r="J44" s="87"/>
      <c r="L44" s="85" t="s">
        <v>664</v>
      </c>
      <c r="M44" s="86"/>
      <c r="N44" s="85"/>
      <c r="O44" s="86"/>
    </row>
    <row r="45" spans="2:23" x14ac:dyDescent="0.25">
      <c r="B45" s="8"/>
      <c r="C45" s="127"/>
      <c r="D45" s="128"/>
      <c r="E45" s="128"/>
      <c r="F45" s="128"/>
      <c r="G45" s="128"/>
      <c r="H45" s="128"/>
      <c r="I45" s="70"/>
      <c r="J45" s="87"/>
      <c r="L45" s="78"/>
      <c r="M45" s="75"/>
      <c r="N45" s="78"/>
      <c r="O45" s="75"/>
    </row>
    <row r="46" spans="2:23" ht="30" x14ac:dyDescent="0.25">
      <c r="B46" s="8"/>
      <c r="C46" s="41" t="s">
        <v>300</v>
      </c>
      <c r="D46" s="10" t="s">
        <v>56</v>
      </c>
      <c r="E46" s="37" t="s">
        <v>9</v>
      </c>
      <c r="F46" s="97" t="s">
        <v>350</v>
      </c>
      <c r="G46" s="40" t="s">
        <v>8</v>
      </c>
      <c r="H46" s="117">
        <v>1</v>
      </c>
      <c r="I46" s="70">
        <f>7860*(O3*(1.32-2*0.025)*(M46+Q46))*1.5+7860*(O3*(0.78-2*0.025)*U46)*2</f>
        <v>17.441102023436645</v>
      </c>
      <c r="J46" s="71">
        <f>1.15*(7860*(Q3*(3.33+3.83)*O46))*1.5+1.15*(7860*(R3*2.64*W46))*2</f>
        <v>133.73215362661176</v>
      </c>
      <c r="L46" s="85">
        <f>3.33/0.25</f>
        <v>13.32</v>
      </c>
      <c r="M46" s="86">
        <v>15</v>
      </c>
      <c r="N46" s="85">
        <f>(1.32-2*0.025)/0.1</f>
        <v>12.7</v>
      </c>
      <c r="O46" s="86">
        <v>14</v>
      </c>
      <c r="P46" s="6">
        <f>3.83/0.25</f>
        <v>15.32</v>
      </c>
      <c r="Q46" s="6">
        <v>17</v>
      </c>
      <c r="T46" s="6">
        <f>(2.64-2*0.025)/0.25</f>
        <v>10.360000000000001</v>
      </c>
      <c r="U46" s="6">
        <v>12</v>
      </c>
      <c r="V46">
        <f>(0.78-2*0.025)/0.2</f>
        <v>3.65</v>
      </c>
      <c r="W46">
        <v>5</v>
      </c>
    </row>
    <row r="47" spans="2:23" x14ac:dyDescent="0.25">
      <c r="B47" s="8"/>
      <c r="C47" s="9" t="s">
        <v>301</v>
      </c>
      <c r="D47" s="10" t="s">
        <v>63</v>
      </c>
      <c r="E47" s="37" t="s">
        <v>9</v>
      </c>
      <c r="F47" s="10" t="s">
        <v>190</v>
      </c>
      <c r="G47" s="38">
        <v>3.14</v>
      </c>
      <c r="H47" s="111">
        <v>1</v>
      </c>
      <c r="I47" s="70">
        <f>7860*O3*(2*(0.24+0.38)+2*0.1-8*0.025)*M47</f>
        <v>5.2358863872600327</v>
      </c>
      <c r="J47" s="71">
        <f>1.15*(7860*(T3*G47*O47))+1.15*(7860*(R3*G47*Q47))</f>
        <v>17.833225565361232</v>
      </c>
      <c r="L47" s="85">
        <f>(G47-2*0.25)/0.15</f>
        <v>17.600000000000001</v>
      </c>
      <c r="M47" s="86">
        <v>19</v>
      </c>
      <c r="N47" s="85"/>
      <c r="O47" s="86">
        <f>2</f>
        <v>2</v>
      </c>
      <c r="P47" s="6"/>
      <c r="Q47" s="6">
        <f>2</f>
        <v>2</v>
      </c>
    </row>
    <row r="48" spans="2:23" x14ac:dyDescent="0.25">
      <c r="B48" s="8"/>
      <c r="C48" s="9" t="s">
        <v>302</v>
      </c>
      <c r="D48" s="10" t="s">
        <v>63</v>
      </c>
      <c r="E48" s="37" t="s">
        <v>9</v>
      </c>
      <c r="F48" s="10" t="s">
        <v>191</v>
      </c>
      <c r="G48" s="101">
        <v>2.64</v>
      </c>
      <c r="H48" s="111">
        <v>1</v>
      </c>
      <c r="I48" s="70">
        <f>7860*O3*(2*(0.54+0.2)+2*0.1-6*0.025)*M48*2</f>
        <v>12.920816407270724</v>
      </c>
      <c r="J48" s="71">
        <f>1.15*(7860*(R3*G48*O48))</f>
        <v>29.687209132247208</v>
      </c>
      <c r="L48" s="85">
        <f>(G48)/0.15</f>
        <v>17.600000000000001</v>
      </c>
      <c r="M48" s="86">
        <v>19</v>
      </c>
      <c r="N48" s="85"/>
      <c r="O48" s="86">
        <f>4+7</f>
        <v>11</v>
      </c>
    </row>
    <row r="49" spans="3:15" x14ac:dyDescent="0.25">
      <c r="C49" s="155"/>
      <c r="D49" s="156"/>
      <c r="E49" s="156"/>
      <c r="F49" s="156"/>
      <c r="G49" s="156"/>
      <c r="H49" s="156"/>
      <c r="I49" s="70"/>
      <c r="J49" s="87"/>
      <c r="L49" s="78"/>
      <c r="M49" s="75"/>
      <c r="N49" s="78"/>
      <c r="O49" s="75"/>
    </row>
    <row r="50" spans="3:15" ht="45.75" thickBot="1" x14ac:dyDescent="0.3">
      <c r="C50" s="51" t="s">
        <v>450</v>
      </c>
      <c r="D50" s="42" t="s">
        <v>444</v>
      </c>
      <c r="E50" s="43" t="s">
        <v>445</v>
      </c>
      <c r="F50" s="43" t="s">
        <v>456</v>
      </c>
      <c r="G50" s="44">
        <v>3.65</v>
      </c>
      <c r="H50" s="118">
        <v>1</v>
      </c>
      <c r="I50" s="72"/>
      <c r="J50" s="89"/>
      <c r="L50" s="78"/>
      <c r="M50" s="75"/>
      <c r="N50" s="78"/>
      <c r="O50" s="75"/>
    </row>
    <row r="51" spans="3:15" ht="15.75" thickBot="1" x14ac:dyDescent="0.3">
      <c r="C51" s="126" t="s">
        <v>648</v>
      </c>
      <c r="D51" s="126"/>
      <c r="E51" s="126"/>
      <c r="F51" s="126"/>
      <c r="G51" s="126"/>
      <c r="H51" s="126"/>
      <c r="I51" s="119">
        <f>SUM(I8:I50)</f>
        <v>766.31064188549669</v>
      </c>
      <c r="J51" s="120">
        <f>SUM(J8:J50)</f>
        <v>24055.059046296854</v>
      </c>
      <c r="L51" s="78"/>
      <c r="M51" s="75"/>
      <c r="N51" s="78"/>
      <c r="O51" s="75"/>
    </row>
    <row r="52" spans="3:15" x14ac:dyDescent="0.25">
      <c r="L52" s="78"/>
      <c r="M52" s="75"/>
      <c r="N52" s="78"/>
      <c r="O52" s="75"/>
    </row>
    <row r="53" spans="3:15" x14ac:dyDescent="0.25">
      <c r="L53" s="85"/>
      <c r="M53" s="75"/>
      <c r="N53" s="78"/>
      <c r="O53" s="75"/>
    </row>
    <row r="54" spans="3:15" x14ac:dyDescent="0.25">
      <c r="L54" s="85"/>
      <c r="M54" s="86"/>
      <c r="N54" s="85"/>
      <c r="O54" s="86"/>
    </row>
    <row r="55" spans="3:15" x14ac:dyDescent="0.25">
      <c r="L55" s="85"/>
      <c r="M55" s="86"/>
      <c r="N55" s="85"/>
      <c r="O55" s="86"/>
    </row>
    <row r="56" spans="3:15" x14ac:dyDescent="0.25">
      <c r="L56" s="85"/>
      <c r="M56" s="86"/>
      <c r="N56" s="85"/>
      <c r="O56" s="86"/>
    </row>
    <row r="57" spans="3:15" x14ac:dyDescent="0.25">
      <c r="L57" s="90"/>
      <c r="M57" s="91"/>
      <c r="N57" s="90"/>
      <c r="O57" s="91"/>
    </row>
  </sheetData>
  <mergeCells count="12">
    <mergeCell ref="I5:J5"/>
    <mergeCell ref="C51:H51"/>
    <mergeCell ref="C49:H49"/>
    <mergeCell ref="C26:H26"/>
    <mergeCell ref="C30:H30"/>
    <mergeCell ref="C42:H42"/>
    <mergeCell ref="C45:H45"/>
    <mergeCell ref="C5:H5"/>
    <mergeCell ref="C7:H7"/>
    <mergeCell ref="C9:H9"/>
    <mergeCell ref="C13:H13"/>
    <mergeCell ref="C15:H1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82B23-4674-467E-804A-CF9D08785573}">
  <dimension ref="B1:Y84"/>
  <sheetViews>
    <sheetView topLeftCell="A60" workbookViewId="0">
      <selection activeCell="J84" sqref="J84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28515625" customWidth="1"/>
  </cols>
  <sheetData>
    <row r="1" spans="2:22" ht="15.75" thickBot="1" x14ac:dyDescent="0.3">
      <c r="B1" s="8"/>
      <c r="C1" s="8"/>
      <c r="D1" s="8"/>
      <c r="E1" s="8"/>
      <c r="F1" s="8"/>
      <c r="G1" s="8"/>
      <c r="H1" s="8"/>
    </row>
    <row r="2" spans="2:22" ht="15.75" thickBot="1" x14ac:dyDescent="0.3">
      <c r="B2" s="8"/>
      <c r="C2" s="152" t="s">
        <v>3</v>
      </c>
      <c r="D2" s="153"/>
      <c r="E2" s="153"/>
      <c r="F2" s="153"/>
      <c r="G2" s="153"/>
      <c r="H2" s="154"/>
      <c r="L2" s="2">
        <v>8</v>
      </c>
      <c r="O2" s="67" t="str">
        <f>F!O2</f>
        <v>6 [m2]</v>
      </c>
      <c r="P2" s="67" t="str">
        <f>F!P2</f>
        <v>8 [m2]</v>
      </c>
      <c r="Q2" s="67" t="str">
        <f>F!Q2</f>
        <v>10 [m2]</v>
      </c>
      <c r="R2" s="67" t="str">
        <f>F!R2</f>
        <v>12 [m2]</v>
      </c>
      <c r="S2" s="67" t="str">
        <f>F!S2</f>
        <v>14 [m2]</v>
      </c>
      <c r="T2" s="67" t="str">
        <f>F!T2</f>
        <v>16 [m2]</v>
      </c>
      <c r="U2" s="67" t="str">
        <f>F!U2</f>
        <v>20 [m2]</v>
      </c>
      <c r="V2" s="67" t="str">
        <f>F!V2</f>
        <v>24 [m2]</v>
      </c>
    </row>
    <row r="3" spans="2:22" ht="30" customHeight="1" x14ac:dyDescent="0.25">
      <c r="B3" s="8"/>
      <c r="C3" s="22" t="s">
        <v>201</v>
      </c>
      <c r="D3" s="23" t="s">
        <v>10</v>
      </c>
      <c r="E3" s="24" t="s">
        <v>9</v>
      </c>
      <c r="F3" s="23" t="s">
        <v>89</v>
      </c>
      <c r="G3" s="25">
        <v>3.14</v>
      </c>
      <c r="H3" s="26">
        <v>1</v>
      </c>
      <c r="I3" s="1"/>
      <c r="J3" s="1"/>
      <c r="K3" s="1"/>
      <c r="L3" s="4"/>
      <c r="O3" s="67">
        <f>F!O3</f>
        <v>2.8274333882308137E-5</v>
      </c>
      <c r="P3" s="67">
        <f>F!P3</f>
        <v>5.0265482457436686E-5</v>
      </c>
      <c r="Q3" s="67">
        <f>F!Q3</f>
        <v>7.8539816339744827E-5</v>
      </c>
      <c r="R3" s="67">
        <f>F!R3</f>
        <v>1.1309733552923255E-4</v>
      </c>
      <c r="S3" s="67">
        <f>F!S3</f>
        <v>1.5393804002589989E-4</v>
      </c>
      <c r="T3" s="67">
        <f>F!T3</f>
        <v>2.0106192982974675E-4</v>
      </c>
      <c r="U3" s="67">
        <f>F!U3</f>
        <v>3.1415926535897931E-4</v>
      </c>
      <c r="V3" s="67">
        <f>F!V3</f>
        <v>4.523893421169302E-4</v>
      </c>
    </row>
    <row r="4" spans="2:22" ht="15" customHeight="1" x14ac:dyDescent="0.25">
      <c r="B4" s="8"/>
      <c r="C4" s="22" t="s">
        <v>202</v>
      </c>
      <c r="D4" s="23" t="s">
        <v>10</v>
      </c>
      <c r="E4" s="24" t="s">
        <v>9</v>
      </c>
      <c r="F4" s="23" t="s">
        <v>89</v>
      </c>
      <c r="G4" s="25">
        <v>3.14</v>
      </c>
      <c r="H4" s="26">
        <v>1</v>
      </c>
    </row>
    <row r="5" spans="2:22" ht="15" customHeight="1" x14ac:dyDescent="0.25">
      <c r="B5" s="8"/>
      <c r="C5" s="22" t="s">
        <v>203</v>
      </c>
      <c r="D5" s="23" t="s">
        <v>10</v>
      </c>
      <c r="E5" s="24" t="s">
        <v>9</v>
      </c>
      <c r="F5" s="23" t="s">
        <v>89</v>
      </c>
      <c r="G5" s="25">
        <v>3.14</v>
      </c>
      <c r="H5" s="26">
        <v>1</v>
      </c>
    </row>
    <row r="6" spans="2:22" ht="15" customHeight="1" x14ac:dyDescent="0.25">
      <c r="B6" s="8"/>
      <c r="C6" s="22" t="s">
        <v>204</v>
      </c>
      <c r="D6" s="23" t="s">
        <v>10</v>
      </c>
      <c r="E6" s="24" t="s">
        <v>9</v>
      </c>
      <c r="F6" s="23" t="s">
        <v>89</v>
      </c>
      <c r="G6" s="25">
        <v>3.14</v>
      </c>
      <c r="H6" s="26">
        <v>1</v>
      </c>
    </row>
    <row r="7" spans="2:22" ht="15" customHeight="1" x14ac:dyDescent="0.25">
      <c r="B7" s="8"/>
      <c r="C7" s="22" t="s">
        <v>205</v>
      </c>
      <c r="D7" s="23" t="s">
        <v>10</v>
      </c>
      <c r="E7" s="24" t="s">
        <v>9</v>
      </c>
      <c r="F7" s="23" t="s">
        <v>89</v>
      </c>
      <c r="G7" s="25">
        <v>3.14</v>
      </c>
      <c r="H7" s="26">
        <v>1</v>
      </c>
    </row>
    <row r="8" spans="2:22" ht="15" customHeight="1" x14ac:dyDescent="0.25">
      <c r="B8" s="8"/>
      <c r="C8" s="22" t="s">
        <v>206</v>
      </c>
      <c r="D8" s="23" t="s">
        <v>10</v>
      </c>
      <c r="E8" s="24" t="s">
        <v>9</v>
      </c>
      <c r="F8" s="23" t="s">
        <v>89</v>
      </c>
      <c r="G8" s="25">
        <v>3.14</v>
      </c>
      <c r="H8" s="26">
        <v>1</v>
      </c>
    </row>
    <row r="9" spans="2:22" ht="15" customHeight="1" x14ac:dyDescent="0.25">
      <c r="B9" s="8"/>
      <c r="C9" s="22" t="s">
        <v>207</v>
      </c>
      <c r="D9" s="23" t="s">
        <v>10</v>
      </c>
      <c r="E9" s="24" t="s">
        <v>9</v>
      </c>
      <c r="F9" s="23" t="s">
        <v>89</v>
      </c>
      <c r="G9" s="25">
        <v>3.14</v>
      </c>
      <c r="H9" s="26">
        <v>1</v>
      </c>
    </row>
    <row r="10" spans="2:22" ht="15" customHeight="1" x14ac:dyDescent="0.25">
      <c r="B10" s="8"/>
      <c r="C10" s="22" t="s">
        <v>208</v>
      </c>
      <c r="D10" s="23" t="s">
        <v>10</v>
      </c>
      <c r="E10" s="24" t="s">
        <v>9</v>
      </c>
      <c r="F10" s="23" t="s">
        <v>89</v>
      </c>
      <c r="G10" s="25">
        <v>3.14</v>
      </c>
      <c r="H10" s="26">
        <v>1</v>
      </c>
    </row>
    <row r="11" spans="2:22" ht="15" customHeight="1" x14ac:dyDescent="0.25">
      <c r="B11" s="8"/>
      <c r="C11" s="22" t="s">
        <v>209</v>
      </c>
      <c r="D11" s="23" t="s">
        <v>10</v>
      </c>
      <c r="E11" s="24" t="s">
        <v>9</v>
      </c>
      <c r="F11" s="23" t="s">
        <v>89</v>
      </c>
      <c r="G11" s="25">
        <v>3.14</v>
      </c>
      <c r="H11" s="26">
        <v>1</v>
      </c>
    </row>
    <row r="12" spans="2:22" ht="15" customHeight="1" x14ac:dyDescent="0.25">
      <c r="B12" s="8"/>
      <c r="C12" s="22" t="s">
        <v>210</v>
      </c>
      <c r="D12" s="23" t="s">
        <v>10</v>
      </c>
      <c r="E12" s="24" t="s">
        <v>9</v>
      </c>
      <c r="F12" s="23" t="s">
        <v>89</v>
      </c>
      <c r="G12" s="25">
        <v>3.14</v>
      </c>
      <c r="H12" s="26">
        <v>1</v>
      </c>
      <c r="L12" t="s">
        <v>151</v>
      </c>
    </row>
    <row r="13" spans="2:22" ht="15" customHeight="1" x14ac:dyDescent="0.25">
      <c r="B13" s="8"/>
      <c r="C13" s="22" t="s">
        <v>211</v>
      </c>
      <c r="D13" s="23" t="s">
        <v>10</v>
      </c>
      <c r="E13" s="24" t="s">
        <v>9</v>
      </c>
      <c r="F13" s="23" t="s">
        <v>89</v>
      </c>
      <c r="G13" s="25">
        <v>3.14</v>
      </c>
      <c r="H13" s="26">
        <v>1</v>
      </c>
    </row>
    <row r="14" spans="2:22" ht="15" customHeight="1" x14ac:dyDescent="0.25">
      <c r="B14" s="8"/>
      <c r="C14" s="22" t="s">
        <v>212</v>
      </c>
      <c r="D14" s="23" t="s">
        <v>10</v>
      </c>
      <c r="E14" s="24" t="s">
        <v>9</v>
      </c>
      <c r="F14" s="23" t="s">
        <v>89</v>
      </c>
      <c r="G14" s="25">
        <v>3.14</v>
      </c>
      <c r="H14" s="26">
        <v>1</v>
      </c>
    </row>
    <row r="15" spans="2:22" ht="15" customHeight="1" x14ac:dyDescent="0.25">
      <c r="B15" s="8"/>
      <c r="C15" s="22" t="s">
        <v>213</v>
      </c>
      <c r="D15" s="23" t="s">
        <v>10</v>
      </c>
      <c r="E15" s="24" t="s">
        <v>9</v>
      </c>
      <c r="F15" s="23" t="s">
        <v>89</v>
      </c>
      <c r="G15" s="25">
        <v>3.14</v>
      </c>
      <c r="H15" s="26">
        <v>1</v>
      </c>
    </row>
    <row r="16" spans="2:22" ht="15" customHeight="1" x14ac:dyDescent="0.25">
      <c r="B16" s="8"/>
      <c r="C16" s="22" t="s">
        <v>214</v>
      </c>
      <c r="D16" s="23" t="s">
        <v>10</v>
      </c>
      <c r="E16" s="24" t="s">
        <v>9</v>
      </c>
      <c r="F16" s="23" t="s">
        <v>89</v>
      </c>
      <c r="G16" s="25">
        <v>3.14</v>
      </c>
      <c r="H16" s="26">
        <v>1</v>
      </c>
    </row>
    <row r="17" spans="2:12" x14ac:dyDescent="0.25">
      <c r="B17" s="8"/>
      <c r="C17" s="22" t="s">
        <v>215</v>
      </c>
      <c r="D17" s="23" t="s">
        <v>10</v>
      </c>
      <c r="E17" s="24" t="s">
        <v>9</v>
      </c>
      <c r="F17" s="23" t="s">
        <v>89</v>
      </c>
      <c r="G17" s="25">
        <v>3.14</v>
      </c>
      <c r="H17" s="26">
        <v>1</v>
      </c>
    </row>
    <row r="18" spans="2:12" x14ac:dyDescent="0.25">
      <c r="B18" s="8"/>
      <c r="C18" s="22" t="s">
        <v>216</v>
      </c>
      <c r="D18" s="23" t="s">
        <v>10</v>
      </c>
      <c r="E18" s="24" t="s">
        <v>9</v>
      </c>
      <c r="F18" s="23" t="s">
        <v>89</v>
      </c>
      <c r="G18" s="25">
        <v>3.14</v>
      </c>
      <c r="H18" s="26">
        <v>1</v>
      </c>
    </row>
    <row r="19" spans="2:12" x14ac:dyDescent="0.25">
      <c r="B19" s="8"/>
      <c r="C19" s="22" t="s">
        <v>217</v>
      </c>
      <c r="D19" s="23" t="s">
        <v>10</v>
      </c>
      <c r="E19" s="24" t="s">
        <v>9</v>
      </c>
      <c r="F19" s="23" t="s">
        <v>89</v>
      </c>
      <c r="G19" s="25">
        <v>3.14</v>
      </c>
      <c r="H19" s="26">
        <v>1</v>
      </c>
    </row>
    <row r="20" spans="2:12" x14ac:dyDescent="0.25">
      <c r="B20" s="8"/>
      <c r="C20" s="22" t="s">
        <v>218</v>
      </c>
      <c r="D20" s="23" t="s">
        <v>10</v>
      </c>
      <c r="E20" s="24" t="s">
        <v>9</v>
      </c>
      <c r="F20" s="23" t="s">
        <v>89</v>
      </c>
      <c r="G20" s="25">
        <v>3.14</v>
      </c>
      <c r="H20" s="26">
        <v>1</v>
      </c>
    </row>
    <row r="21" spans="2:12" x14ac:dyDescent="0.25">
      <c r="B21" s="8"/>
      <c r="C21" s="22" t="s">
        <v>219</v>
      </c>
      <c r="D21" s="23" t="s">
        <v>10</v>
      </c>
      <c r="E21" s="24" t="s">
        <v>9</v>
      </c>
      <c r="F21" s="23" t="s">
        <v>89</v>
      </c>
      <c r="G21" s="25">
        <v>3.14</v>
      </c>
      <c r="H21" s="26">
        <v>1</v>
      </c>
    </row>
    <row r="22" spans="2:12" x14ac:dyDescent="0.25">
      <c r="B22" s="8"/>
      <c r="C22" s="22" t="s">
        <v>220</v>
      </c>
      <c r="D22" s="23" t="s">
        <v>10</v>
      </c>
      <c r="E22" s="24" t="s">
        <v>9</v>
      </c>
      <c r="F22" s="23" t="s">
        <v>89</v>
      </c>
      <c r="G22" s="25">
        <v>3.14</v>
      </c>
      <c r="H22" s="26">
        <v>1</v>
      </c>
    </row>
    <row r="23" spans="2:12" x14ac:dyDescent="0.25">
      <c r="B23" s="8"/>
      <c r="C23" s="22" t="s">
        <v>221</v>
      </c>
      <c r="D23" s="23" t="s">
        <v>10</v>
      </c>
      <c r="E23" s="24" t="s">
        <v>9</v>
      </c>
      <c r="F23" s="23" t="s">
        <v>89</v>
      </c>
      <c r="G23" s="25">
        <v>3.14</v>
      </c>
      <c r="H23" s="26">
        <v>1</v>
      </c>
    </row>
    <row r="24" spans="2:12" x14ac:dyDescent="0.25">
      <c r="B24" s="8"/>
      <c r="C24" s="22" t="s">
        <v>222</v>
      </c>
      <c r="D24" s="23" t="s">
        <v>10</v>
      </c>
      <c r="E24" s="24" t="s">
        <v>9</v>
      </c>
      <c r="F24" s="23" t="s">
        <v>89</v>
      </c>
      <c r="G24" s="25">
        <v>3.14</v>
      </c>
      <c r="H24" s="26">
        <v>1</v>
      </c>
    </row>
    <row r="25" spans="2:12" x14ac:dyDescent="0.25">
      <c r="B25" s="8"/>
      <c r="C25" s="22" t="s">
        <v>223</v>
      </c>
      <c r="D25" s="23" t="s">
        <v>10</v>
      </c>
      <c r="E25" s="24" t="s">
        <v>9</v>
      </c>
      <c r="F25" s="23" t="s">
        <v>89</v>
      </c>
      <c r="G25" s="25">
        <v>3.14</v>
      </c>
      <c r="H25" s="26">
        <v>1</v>
      </c>
    </row>
    <row r="26" spans="2:12" x14ac:dyDescent="0.25">
      <c r="B26" s="8"/>
      <c r="C26" s="22" t="s">
        <v>224</v>
      </c>
      <c r="D26" s="23" t="s">
        <v>10</v>
      </c>
      <c r="E26" s="24" t="s">
        <v>9</v>
      </c>
      <c r="F26" s="23" t="s">
        <v>89</v>
      </c>
      <c r="G26" s="25">
        <v>3.14</v>
      </c>
      <c r="H26" s="26">
        <v>1</v>
      </c>
    </row>
    <row r="27" spans="2:12" x14ac:dyDescent="0.25">
      <c r="B27" s="8"/>
      <c r="C27" s="22" t="s">
        <v>225</v>
      </c>
      <c r="D27" s="23" t="s">
        <v>10</v>
      </c>
      <c r="E27" s="24" t="s">
        <v>9</v>
      </c>
      <c r="F27" s="23" t="s">
        <v>89</v>
      </c>
      <c r="G27" s="25">
        <v>3.14</v>
      </c>
      <c r="H27" s="26">
        <v>1</v>
      </c>
    </row>
    <row r="28" spans="2:12" ht="15.75" thickBot="1" x14ac:dyDescent="0.3">
      <c r="B28" s="8"/>
      <c r="C28" s="27" t="s">
        <v>226</v>
      </c>
      <c r="D28" s="28" t="s">
        <v>10</v>
      </c>
      <c r="E28" s="29" t="s">
        <v>9</v>
      </c>
      <c r="F28" s="28" t="s">
        <v>89</v>
      </c>
      <c r="G28" s="30">
        <v>3.14</v>
      </c>
      <c r="H28" s="31">
        <v>1</v>
      </c>
    </row>
    <row r="29" spans="2:12" x14ac:dyDescent="0.25">
      <c r="B29" s="8"/>
      <c r="C29" s="32"/>
      <c r="D29" s="33"/>
      <c r="E29" s="34"/>
      <c r="F29" s="33"/>
      <c r="G29" s="35"/>
      <c r="H29" s="32"/>
    </row>
    <row r="30" spans="2:12" x14ac:dyDescent="0.25">
      <c r="B30" s="8"/>
      <c r="C30" s="32"/>
      <c r="D30" s="33"/>
      <c r="E30" s="34"/>
      <c r="F30" s="33"/>
      <c r="G30" s="35"/>
      <c r="H30" s="32"/>
    </row>
    <row r="31" spans="2:12" ht="15.75" thickBot="1" x14ac:dyDescent="0.3">
      <c r="B31" s="8"/>
      <c r="C31" s="32"/>
      <c r="D31" s="33"/>
      <c r="E31" s="34"/>
      <c r="F31" s="33"/>
      <c r="G31" s="35"/>
      <c r="H31" s="32"/>
    </row>
    <row r="32" spans="2:12" ht="15.75" thickBot="1" x14ac:dyDescent="0.3">
      <c r="B32" s="8"/>
      <c r="C32" s="131" t="s">
        <v>3</v>
      </c>
      <c r="D32" s="132"/>
      <c r="E32" s="132"/>
      <c r="F32" s="132"/>
      <c r="G32" s="132"/>
      <c r="H32" s="135"/>
      <c r="I32" s="124" t="s">
        <v>647</v>
      </c>
      <c r="J32" s="125"/>
      <c r="L32" s="2">
        <v>8</v>
      </c>
    </row>
    <row r="33" spans="2:15" ht="26.25" thickBot="1" x14ac:dyDescent="0.3">
      <c r="B33" s="8"/>
      <c r="C33" s="45" t="s">
        <v>2</v>
      </c>
      <c r="D33" s="46" t="s">
        <v>0</v>
      </c>
      <c r="E33" s="47" t="s">
        <v>4</v>
      </c>
      <c r="F33" s="47" t="s">
        <v>5</v>
      </c>
      <c r="G33" s="47" t="s">
        <v>1</v>
      </c>
      <c r="H33" s="48" t="s">
        <v>6</v>
      </c>
      <c r="I33" s="98" t="s">
        <v>649</v>
      </c>
      <c r="J33" s="99" t="s">
        <v>650</v>
      </c>
      <c r="L33" s="2"/>
    </row>
    <row r="34" spans="2:15" x14ac:dyDescent="0.25">
      <c r="B34" s="8"/>
      <c r="C34" s="133"/>
      <c r="D34" s="134"/>
      <c r="E34" s="134"/>
      <c r="F34" s="134"/>
      <c r="G34" s="134"/>
      <c r="H34" s="134"/>
      <c r="I34" s="68"/>
      <c r="J34" s="69"/>
    </row>
    <row r="35" spans="2:15" ht="30" x14ac:dyDescent="0.25">
      <c r="B35" s="8"/>
      <c r="C35" s="14" t="s">
        <v>230</v>
      </c>
      <c r="D35" s="36" t="s">
        <v>165</v>
      </c>
      <c r="E35" s="11" t="s">
        <v>8</v>
      </c>
      <c r="F35" s="10" t="s">
        <v>269</v>
      </c>
      <c r="G35" s="38">
        <v>1.4</v>
      </c>
      <c r="H35" s="110">
        <v>8</v>
      </c>
      <c r="I35" s="70"/>
      <c r="J35" s="71"/>
      <c r="L35" s="83"/>
      <c r="M35" s="84"/>
      <c r="N35" s="83"/>
      <c r="O35" s="84"/>
    </row>
    <row r="36" spans="2:15" ht="30" x14ac:dyDescent="0.25">
      <c r="B36" s="8"/>
      <c r="C36" s="14" t="s">
        <v>231</v>
      </c>
      <c r="D36" s="36" t="s">
        <v>165</v>
      </c>
      <c r="E36" s="11" t="s">
        <v>8</v>
      </c>
      <c r="F36" s="10" t="s">
        <v>269</v>
      </c>
      <c r="G36" s="38">
        <v>2.2999999999999998</v>
      </c>
      <c r="H36" s="110">
        <v>3</v>
      </c>
      <c r="I36" s="70"/>
      <c r="J36" s="71"/>
      <c r="L36" s="78"/>
      <c r="M36" s="75"/>
      <c r="N36" s="78"/>
      <c r="O36" s="75"/>
    </row>
    <row r="37" spans="2:15" x14ac:dyDescent="0.25">
      <c r="B37" s="8"/>
      <c r="C37" s="150"/>
      <c r="D37" s="151"/>
      <c r="E37" s="151"/>
      <c r="F37" s="151"/>
      <c r="G37" s="151"/>
      <c r="H37" s="151"/>
      <c r="I37" s="70"/>
      <c r="J37" s="71"/>
      <c r="L37" s="85"/>
      <c r="M37" s="86"/>
      <c r="N37" s="85"/>
      <c r="O37" s="86"/>
    </row>
    <row r="38" spans="2:15" x14ac:dyDescent="0.25">
      <c r="B38" s="8"/>
      <c r="C38" s="14" t="s">
        <v>232</v>
      </c>
      <c r="D38" s="36" t="s">
        <v>266</v>
      </c>
      <c r="E38" s="37" t="s">
        <v>9</v>
      </c>
      <c r="F38" s="10" t="s">
        <v>64</v>
      </c>
      <c r="G38" s="38">
        <v>2.2000000000000002</v>
      </c>
      <c r="H38" s="110">
        <v>1</v>
      </c>
      <c r="I38" s="70">
        <f>7860*O3*(2*(0.25+0.3)+2*0.1-8*0.025)*M38*H38</f>
        <v>2.4445989074643619</v>
      </c>
      <c r="J38" s="71">
        <f>1.15*(7860*(R3*G38*O38))*H38</f>
        <v>8.9961239794688499</v>
      </c>
      <c r="L38" s="85">
        <f>(G38-0.5)/0.2</f>
        <v>8.5</v>
      </c>
      <c r="M38" s="86">
        <v>10</v>
      </c>
      <c r="N38" s="85"/>
      <c r="O38" s="86">
        <f>2+2</f>
        <v>4</v>
      </c>
    </row>
    <row r="39" spans="2:15" x14ac:dyDescent="0.25">
      <c r="B39" s="8"/>
      <c r="C39" s="14" t="s">
        <v>233</v>
      </c>
      <c r="D39" s="36" t="s">
        <v>266</v>
      </c>
      <c r="E39" s="37" t="s">
        <v>9</v>
      </c>
      <c r="F39" s="10" t="s">
        <v>264</v>
      </c>
      <c r="G39" s="38">
        <v>1.5</v>
      </c>
      <c r="H39" s="110">
        <v>2</v>
      </c>
      <c r="I39" s="70">
        <f>7860*O3*(2*(0.24+0.24)+2*0.1-8*0.025)*M39*H39</f>
        <v>3.4135490198775083</v>
      </c>
      <c r="J39" s="71">
        <f>1.15*(7860*(R3*G39*O39))*H39</f>
        <v>12.267441790184796</v>
      </c>
      <c r="L39" s="85">
        <f>(G39-0.5)/0.15</f>
        <v>6.666666666666667</v>
      </c>
      <c r="M39" s="86">
        <v>8</v>
      </c>
      <c r="N39" s="85"/>
      <c r="O39" s="86">
        <f t="shared" ref="O39:O46" si="0">2+2</f>
        <v>4</v>
      </c>
    </row>
    <row r="40" spans="2:15" x14ac:dyDescent="0.25">
      <c r="B40" s="8"/>
      <c r="C40" s="9" t="s">
        <v>234</v>
      </c>
      <c r="D40" s="36" t="s">
        <v>266</v>
      </c>
      <c r="E40" s="37" t="s">
        <v>9</v>
      </c>
      <c r="F40" s="10" t="s">
        <v>264</v>
      </c>
      <c r="G40" s="38">
        <v>1.4</v>
      </c>
      <c r="H40" s="110">
        <v>1</v>
      </c>
      <c r="I40" s="70">
        <f>7860*O3*(2*(0.24+0.24)+2*0.1-8*0.025)*M40*H40</f>
        <v>1.4934276961964099</v>
      </c>
      <c r="J40" s="71">
        <f>1.15*(7860*(R3*G40*O40))*H40</f>
        <v>5.7248061687529042</v>
      </c>
      <c r="L40" s="85">
        <f t="shared" ref="L40:L45" si="1">(G40-0.5)/0.15</f>
        <v>6</v>
      </c>
      <c r="M40" s="86">
        <v>7</v>
      </c>
      <c r="N40" s="85"/>
      <c r="O40" s="86">
        <f t="shared" si="0"/>
        <v>4</v>
      </c>
    </row>
    <row r="41" spans="2:15" x14ac:dyDescent="0.25">
      <c r="B41" s="8"/>
      <c r="C41" s="14" t="s">
        <v>235</v>
      </c>
      <c r="D41" s="36" t="s">
        <v>266</v>
      </c>
      <c r="E41" s="37" t="s">
        <v>9</v>
      </c>
      <c r="F41" s="10" t="s">
        <v>264</v>
      </c>
      <c r="G41" s="38">
        <v>2.1</v>
      </c>
      <c r="H41" s="110">
        <v>1</v>
      </c>
      <c r="I41" s="70">
        <f>7860*O3*(2*(0.24+0.24)+2*0.1-8*0.025)*M41*H41</f>
        <v>2.5601617649081314</v>
      </c>
      <c r="J41" s="71">
        <f>1.15*(7860*(R3*G41*O41))*H41</f>
        <v>8.5872092531293571</v>
      </c>
      <c r="L41" s="85">
        <f t="shared" si="1"/>
        <v>10.666666666666668</v>
      </c>
      <c r="M41" s="86">
        <v>12</v>
      </c>
      <c r="N41" s="85"/>
      <c r="O41" s="86">
        <f t="shared" si="0"/>
        <v>4</v>
      </c>
    </row>
    <row r="42" spans="2:15" x14ac:dyDescent="0.25">
      <c r="B42" s="8"/>
      <c r="C42" s="14" t="s">
        <v>236</v>
      </c>
      <c r="D42" s="36" t="s">
        <v>266</v>
      </c>
      <c r="E42" s="37" t="s">
        <v>9</v>
      </c>
      <c r="F42" s="10" t="s">
        <v>264</v>
      </c>
      <c r="G42" s="20">
        <v>4.5999999999999996</v>
      </c>
      <c r="H42" s="62">
        <v>3</v>
      </c>
      <c r="I42" s="70">
        <f>7860*O3*(2*(0.24+0.24)+2*0.1-8*0.025)*M42*H42</f>
        <v>18.56117279558395</v>
      </c>
      <c r="J42" s="71">
        <f>1.15*(7860*(R3*G42*O42))*H42</f>
        <v>56.430232234850052</v>
      </c>
      <c r="L42" s="85">
        <f t="shared" si="1"/>
        <v>27.333333333333332</v>
      </c>
      <c r="M42" s="86">
        <v>29</v>
      </c>
      <c r="N42" s="85"/>
      <c r="O42" s="86">
        <f t="shared" si="0"/>
        <v>4</v>
      </c>
    </row>
    <row r="43" spans="2:15" x14ac:dyDescent="0.25">
      <c r="B43" s="8"/>
      <c r="C43" s="14" t="s">
        <v>237</v>
      </c>
      <c r="D43" s="36" t="s">
        <v>266</v>
      </c>
      <c r="E43" s="37" t="s">
        <v>9</v>
      </c>
      <c r="F43" s="10" t="s">
        <v>264</v>
      </c>
      <c r="G43" s="38">
        <v>2.7</v>
      </c>
      <c r="H43" s="110">
        <v>3</v>
      </c>
      <c r="I43" s="70">
        <f>7860*O3*(2*(0.24+0.24)+2*0.1-8*0.025)*M43*H43</f>
        <v>10.240647059632526</v>
      </c>
      <c r="J43" s="71">
        <f>1.15*(7860*(R3*G43*O43))*H43</f>
        <v>33.122092833498947</v>
      </c>
      <c r="L43" s="85">
        <f t="shared" si="1"/>
        <v>14.666666666666668</v>
      </c>
      <c r="M43" s="86">
        <v>16</v>
      </c>
      <c r="N43" s="85"/>
      <c r="O43" s="86">
        <f t="shared" si="0"/>
        <v>4</v>
      </c>
    </row>
    <row r="44" spans="2:15" x14ac:dyDescent="0.25">
      <c r="B44" s="8"/>
      <c r="C44" s="14" t="s">
        <v>238</v>
      </c>
      <c r="D44" s="36" t="s">
        <v>266</v>
      </c>
      <c r="E44" s="37" t="s">
        <v>9</v>
      </c>
      <c r="F44" s="10" t="s">
        <v>264</v>
      </c>
      <c r="G44" s="38">
        <v>1.95</v>
      </c>
      <c r="H44" s="110">
        <v>1</v>
      </c>
      <c r="I44" s="70">
        <f>7860*O3*(2*(0.24+0.24)+2*0.1-8*0.025)*M44*H44</f>
        <v>2.3468149511657868</v>
      </c>
      <c r="J44" s="71">
        <f>1.15*(7860*(R3*G44*O44))*H44</f>
        <v>7.9738371636201171</v>
      </c>
      <c r="L44" s="85">
        <f t="shared" si="1"/>
        <v>9.6666666666666661</v>
      </c>
      <c r="M44" s="86">
        <v>11</v>
      </c>
      <c r="N44" s="85"/>
      <c r="O44" s="86">
        <f t="shared" si="0"/>
        <v>4</v>
      </c>
    </row>
    <row r="45" spans="2:15" x14ac:dyDescent="0.25">
      <c r="B45" s="8"/>
      <c r="C45" s="9" t="s">
        <v>267</v>
      </c>
      <c r="D45" s="36" t="s">
        <v>266</v>
      </c>
      <c r="E45" s="37" t="s">
        <v>9</v>
      </c>
      <c r="F45" s="10" t="s">
        <v>264</v>
      </c>
      <c r="G45" s="38">
        <v>2.7</v>
      </c>
      <c r="H45" s="110">
        <v>2</v>
      </c>
      <c r="I45" s="70">
        <f>7860*O3*(2*(0.24+0.24)+2*0.1-8*0.025)*M45*H45</f>
        <v>6.8270980397550165</v>
      </c>
      <c r="J45" s="71">
        <f>1.15*(7860*(R3*G45*O45))*H45</f>
        <v>22.081395222332631</v>
      </c>
      <c r="L45" s="85">
        <f t="shared" si="1"/>
        <v>14.666666666666668</v>
      </c>
      <c r="M45" s="86">
        <v>16</v>
      </c>
      <c r="N45" s="85"/>
      <c r="O45" s="86">
        <f t="shared" si="0"/>
        <v>4</v>
      </c>
    </row>
    <row r="46" spans="2:15" x14ac:dyDescent="0.25">
      <c r="B46" s="8"/>
      <c r="C46" s="14" t="s">
        <v>268</v>
      </c>
      <c r="D46" s="36" t="s">
        <v>266</v>
      </c>
      <c r="E46" s="37" t="s">
        <v>9</v>
      </c>
      <c r="F46" s="10" t="s">
        <v>264</v>
      </c>
      <c r="G46" s="38">
        <v>1.75</v>
      </c>
      <c r="H46" s="110">
        <v>1</v>
      </c>
      <c r="I46" s="70">
        <f>7860*O3*(2*(0.24+0.24)+2*0.1-8*0.025)*M46*H46</f>
        <v>2.1334681374234425</v>
      </c>
      <c r="J46" s="71">
        <f>1.15*(7860*(R3*G46*O46))*H46</f>
        <v>7.1560077109411298</v>
      </c>
      <c r="L46" s="85">
        <f>(G46-0.5)/0.15</f>
        <v>8.3333333333333339</v>
      </c>
      <c r="M46" s="86">
        <v>10</v>
      </c>
      <c r="N46" s="85"/>
      <c r="O46" s="86">
        <f t="shared" si="0"/>
        <v>4</v>
      </c>
    </row>
    <row r="47" spans="2:15" x14ac:dyDescent="0.25">
      <c r="B47" s="8"/>
      <c r="C47" s="150"/>
      <c r="D47" s="151"/>
      <c r="E47" s="151"/>
      <c r="F47" s="151"/>
      <c r="G47" s="151"/>
      <c r="H47" s="151"/>
      <c r="I47" s="70"/>
      <c r="J47" s="71"/>
      <c r="L47" s="78"/>
      <c r="M47" s="86"/>
      <c r="N47" s="85"/>
      <c r="O47" s="86"/>
    </row>
    <row r="48" spans="2:15" x14ac:dyDescent="0.25">
      <c r="B48" s="8"/>
      <c r="C48" s="9" t="s">
        <v>239</v>
      </c>
      <c r="D48" s="10" t="s">
        <v>7</v>
      </c>
      <c r="E48" s="37" t="s">
        <v>9</v>
      </c>
      <c r="F48" s="10" t="s">
        <v>270</v>
      </c>
      <c r="G48" s="20">
        <v>2.2000000000000002</v>
      </c>
      <c r="H48" s="62">
        <v>1</v>
      </c>
      <c r="I48" s="93">
        <f>7860*O3*(2*(0.16+0.35)+2*0.1-6*0.025)*M48*2</f>
        <v>6.1826128732416841</v>
      </c>
      <c r="J48" s="87">
        <f>1.15*(7860*(T3*G48*O48))</f>
        <v>31.986218593667022</v>
      </c>
      <c r="L48" s="78">
        <f>(G48-2*0.25)/0.15</f>
        <v>11.333333333333336</v>
      </c>
      <c r="M48" s="75">
        <v>13</v>
      </c>
      <c r="N48" s="78"/>
      <c r="O48" s="75">
        <f>4+4</f>
        <v>8</v>
      </c>
    </row>
    <row r="49" spans="2:25" x14ac:dyDescent="0.25">
      <c r="B49" s="8"/>
      <c r="C49" s="150"/>
      <c r="D49" s="151"/>
      <c r="E49" s="151"/>
      <c r="F49" s="151"/>
      <c r="G49" s="151"/>
      <c r="H49" s="151"/>
      <c r="I49" s="70"/>
      <c r="J49" s="71"/>
      <c r="L49" s="78"/>
      <c r="M49" s="75"/>
      <c r="N49" s="78"/>
      <c r="O49" s="75"/>
    </row>
    <row r="50" spans="2:25" ht="30" x14ac:dyDescent="0.25">
      <c r="B50" s="8"/>
      <c r="C50" s="9" t="s">
        <v>240</v>
      </c>
      <c r="D50" s="37" t="s">
        <v>351</v>
      </c>
      <c r="E50" s="37" t="s">
        <v>9</v>
      </c>
      <c r="F50" s="97" t="s">
        <v>659</v>
      </c>
      <c r="G50" s="21">
        <v>18.100000000000001</v>
      </c>
      <c r="H50" s="62">
        <v>1</v>
      </c>
      <c r="I50" s="70">
        <f>7860*O3*(2*(0.24+1.49)+2*0.1-8*0.025)*(M50+U50)+7860*O3*(2*(0.16+0.68)+2*0.1-6*0.025)*Q50*2</f>
        <v>66.12862280955413</v>
      </c>
      <c r="J50" s="71">
        <f>1.15*(7860*(T3*5.8*O50+T3*(6.1+5.8)*S50+Q3*(6.1+5.8)*W50))</f>
        <v>255.31613225822105</v>
      </c>
      <c r="L50" s="85">
        <f>(6.1-0.4)/0.2</f>
        <v>28.499999999999996</v>
      </c>
      <c r="M50" s="86">
        <v>30</v>
      </c>
      <c r="N50" s="85"/>
      <c r="O50" s="86">
        <f>4+4</f>
        <v>8</v>
      </c>
      <c r="P50" s="6">
        <f>(5.8-0.4)/0.2</f>
        <v>26.999999999999996</v>
      </c>
      <c r="Q50" s="6">
        <v>28</v>
      </c>
      <c r="R50" s="6"/>
      <c r="S50" s="6">
        <f>2+2</f>
        <v>4</v>
      </c>
      <c r="T50" s="6">
        <f>(5.8-0.4)/0.2</f>
        <v>26.999999999999996</v>
      </c>
      <c r="U50" s="6">
        <v>28</v>
      </c>
      <c r="W50">
        <f>5+5</f>
        <v>10</v>
      </c>
    </row>
    <row r="51" spans="2:25" ht="30" x14ac:dyDescent="0.25">
      <c r="B51" s="8"/>
      <c r="C51" s="9" t="s">
        <v>241</v>
      </c>
      <c r="D51" s="37" t="s">
        <v>351</v>
      </c>
      <c r="E51" s="37" t="s">
        <v>9</v>
      </c>
      <c r="F51" s="97" t="s">
        <v>659</v>
      </c>
      <c r="G51" s="21">
        <v>9.4499999999999993</v>
      </c>
      <c r="H51" s="62">
        <v>1</v>
      </c>
      <c r="I51" s="70">
        <f>7860*O3*(2*(0.24+1.49)+2*0.1-8*0.025)*M51+7860*O3*(2*(0.16+0.68)+2*0.1-6*0.025)*Q51*2</f>
        <v>30.757498981187968</v>
      </c>
      <c r="J51" s="71">
        <f>1.15*(7860*(T3*4.2*O51+T3*4.6*S51+Q3*4.6*W51))</f>
        <v>127.16112114918405</v>
      </c>
      <c r="L51" s="85">
        <f>(4.6-0.8)/0.2</f>
        <v>18.999999999999996</v>
      </c>
      <c r="M51" s="86">
        <v>20</v>
      </c>
      <c r="N51" s="85"/>
      <c r="O51" s="86">
        <f t="shared" ref="O51:O57" si="2">4+4</f>
        <v>8</v>
      </c>
      <c r="P51" s="6">
        <f>(4.2-0.4)/0.2</f>
        <v>19</v>
      </c>
      <c r="Q51" s="6">
        <v>20</v>
      </c>
      <c r="R51" s="6"/>
      <c r="S51" s="6">
        <f t="shared" ref="S51:S57" si="3">2+2</f>
        <v>4</v>
      </c>
      <c r="T51" s="6"/>
      <c r="U51" s="6"/>
      <c r="W51">
        <f t="shared" ref="W51:W57" si="4">5+5</f>
        <v>10</v>
      </c>
    </row>
    <row r="52" spans="2:25" ht="30" x14ac:dyDescent="0.25">
      <c r="B52" s="8"/>
      <c r="C52" s="9" t="s">
        <v>242</v>
      </c>
      <c r="D52" s="37" t="s">
        <v>351</v>
      </c>
      <c r="E52" s="37" t="s">
        <v>9</v>
      </c>
      <c r="F52" s="97" t="s">
        <v>659</v>
      </c>
      <c r="G52" s="21">
        <v>11.9</v>
      </c>
      <c r="H52" s="62">
        <v>1</v>
      </c>
      <c r="I52" s="70">
        <f>7860*O3*(2*(0.24+1.49)+2*0.1-8*0.025)*M52+7860*O3*(2*(0.16+0.68)+2*0.1-6*0.025)*Q52*2</f>
        <v>43.829436048192854</v>
      </c>
      <c r="J52" s="71">
        <f>1.15*(7860*(T3*5.6*O52+T3*5.85*S52+Q3*5.85*W52+T3*2*Y52))</f>
        <v>172.7465940792388</v>
      </c>
      <c r="L52" s="85">
        <f>(5.85-0.4)/0.2</f>
        <v>27.249999999999996</v>
      </c>
      <c r="M52" s="86">
        <v>29</v>
      </c>
      <c r="N52" s="85"/>
      <c r="O52" s="86">
        <f t="shared" si="2"/>
        <v>8</v>
      </c>
      <c r="P52" s="6">
        <f>(5.6-0.2)/0.2</f>
        <v>26.999999999999996</v>
      </c>
      <c r="Q52" s="6">
        <v>28</v>
      </c>
      <c r="R52" s="6"/>
      <c r="S52" s="6">
        <f t="shared" si="3"/>
        <v>4</v>
      </c>
      <c r="T52" s="6"/>
      <c r="U52" s="6"/>
      <c r="W52">
        <f t="shared" si="4"/>
        <v>10</v>
      </c>
      <c r="Y52">
        <v>2</v>
      </c>
    </row>
    <row r="53" spans="2:25" ht="30" x14ac:dyDescent="0.25">
      <c r="B53" s="8"/>
      <c r="C53" s="9" t="s">
        <v>243</v>
      </c>
      <c r="D53" s="37" t="s">
        <v>351</v>
      </c>
      <c r="E53" s="37" t="s">
        <v>9</v>
      </c>
      <c r="F53" s="97" t="s">
        <v>659</v>
      </c>
      <c r="G53" s="21">
        <v>22.1</v>
      </c>
      <c r="H53" s="62">
        <v>1</v>
      </c>
      <c r="I53" s="70">
        <f>7860*O3*(2*(0.24+1.49)+2*0.1-8*0.025)*2*M53+7860*O3*(2*(0.16+0.68)+2*0.1-6*0.025)*2*Q53*2</f>
        <v>73.817997554851132</v>
      </c>
      <c r="J53" s="71">
        <f>1.15*(7860*(T3*4.85*2*O53+T3*5.8*2*S53+Q3*5.8*2*W53))</f>
        <v>307.70833157046854</v>
      </c>
      <c r="L53" s="85">
        <f>(5.8-0.8)/0.2</f>
        <v>25</v>
      </c>
      <c r="M53" s="86">
        <v>26</v>
      </c>
      <c r="N53" s="85"/>
      <c r="O53" s="86">
        <f t="shared" si="2"/>
        <v>8</v>
      </c>
      <c r="P53" s="6">
        <f>(4.85-0.8)/0.2</f>
        <v>20.249999999999996</v>
      </c>
      <c r="Q53" s="6">
        <v>22</v>
      </c>
      <c r="R53" s="6"/>
      <c r="S53" s="6">
        <f t="shared" si="3"/>
        <v>4</v>
      </c>
      <c r="T53" s="6"/>
      <c r="U53" s="6"/>
      <c r="W53">
        <f t="shared" si="4"/>
        <v>10</v>
      </c>
    </row>
    <row r="54" spans="2:25" ht="30" x14ac:dyDescent="0.25">
      <c r="B54" s="8"/>
      <c r="C54" s="9" t="s">
        <v>244</v>
      </c>
      <c r="D54" s="37" t="s">
        <v>351</v>
      </c>
      <c r="E54" s="37" t="s">
        <v>9</v>
      </c>
      <c r="F54" s="97" t="s">
        <v>659</v>
      </c>
      <c r="G54" s="21">
        <v>18.149999999999999</v>
      </c>
      <c r="H54" s="62">
        <v>1</v>
      </c>
      <c r="I54" s="70">
        <f>7860*O3*(2*(0.24+1.49)+2*0.1-8*0.025)*(M54+U54)+7860*O3*(2*(0.16+0.68)+2*0.1-6*0.025)*Q54*2</f>
        <v>65.359685335024437</v>
      </c>
      <c r="J54" s="71">
        <f>1.15*(7860*(T3*5.8*O54+T3*(5.85+6.1)*S54+Q3*(5.85+6.1)*W54+T3*(2+2)*Y54))</f>
        <v>270.57376298476339</v>
      </c>
      <c r="L54" s="85">
        <f>(5.85-0.4)/0.2</f>
        <v>27.249999999999996</v>
      </c>
      <c r="M54" s="86">
        <v>29</v>
      </c>
      <c r="N54" s="85"/>
      <c r="O54" s="86">
        <f t="shared" si="2"/>
        <v>8</v>
      </c>
      <c r="P54" s="6">
        <f>(5.8-0.8)/0.2</f>
        <v>25</v>
      </c>
      <c r="Q54" s="6">
        <v>26</v>
      </c>
      <c r="R54" s="6"/>
      <c r="S54" s="6">
        <f t="shared" si="3"/>
        <v>4</v>
      </c>
      <c r="T54" s="6">
        <f>(6.1-0.4)/0.2</f>
        <v>28.499999999999996</v>
      </c>
      <c r="U54" s="6">
        <v>30</v>
      </c>
      <c r="W54">
        <f t="shared" si="4"/>
        <v>10</v>
      </c>
      <c r="Y54">
        <v>2</v>
      </c>
    </row>
    <row r="55" spans="2:25" ht="30" x14ac:dyDescent="0.25">
      <c r="B55" s="8"/>
      <c r="C55" s="9" t="s">
        <v>245</v>
      </c>
      <c r="D55" s="37" t="s">
        <v>351</v>
      </c>
      <c r="E55" s="37" t="s">
        <v>9</v>
      </c>
      <c r="F55" s="97" t="s">
        <v>659</v>
      </c>
      <c r="G55" s="21">
        <v>11.18</v>
      </c>
      <c r="H55" s="62">
        <v>1</v>
      </c>
      <c r="I55" s="70">
        <f>7860*O3*(2*(0.24+1.49)+2*0.1-8*0.025)*M55+7860*O3*(2*(0.16+0.68)+2*0.1-6*0.025)*Q55*2</f>
        <v>37.677936251955259</v>
      </c>
      <c r="J55" s="71">
        <f>1.15*(7860*(T3*4.75*O55+T3*5.8*S55+Q3*5.8*W55))</f>
        <v>152.40024675824944</v>
      </c>
      <c r="L55" s="85">
        <f>(5.8-0.8)/0.2</f>
        <v>25</v>
      </c>
      <c r="M55" s="86">
        <v>26</v>
      </c>
      <c r="N55" s="85"/>
      <c r="O55" s="86">
        <f t="shared" si="2"/>
        <v>8</v>
      </c>
      <c r="P55" s="6">
        <f>(4.35)/0.2</f>
        <v>21.749999999999996</v>
      </c>
      <c r="Q55" s="6">
        <v>23</v>
      </c>
      <c r="R55" s="6"/>
      <c r="S55" s="6">
        <f t="shared" si="3"/>
        <v>4</v>
      </c>
      <c r="T55" s="6"/>
      <c r="U55" s="6"/>
      <c r="W55">
        <f t="shared" si="4"/>
        <v>10</v>
      </c>
    </row>
    <row r="56" spans="2:25" ht="30" x14ac:dyDescent="0.25">
      <c r="B56" s="8"/>
      <c r="C56" s="9" t="s">
        <v>246</v>
      </c>
      <c r="D56" s="37" t="s">
        <v>351</v>
      </c>
      <c r="E56" s="37" t="s">
        <v>9</v>
      </c>
      <c r="F56" s="97" t="s">
        <v>659</v>
      </c>
      <c r="G56" s="21">
        <v>11.85</v>
      </c>
      <c r="H56" s="62">
        <v>1</v>
      </c>
      <c r="I56" s="70">
        <f>7860*O3*(2*(0.24+1.49)+2*0.1-8*0.025)*M56+7860*O3*(2*(0.16+0.68)+2*0.1-6*0.025)*Q56*2</f>
        <v>43.060498573663153</v>
      </c>
      <c r="J56" s="71">
        <f>1.15*(7860*(T3*5.8*O56+T3*5.6*S56+Q3*5.6*W56+T3*2*Y56))</f>
        <v>172.06222984974005</v>
      </c>
      <c r="L56" s="85">
        <f>(5.6-0.2)/0.2</f>
        <v>26.999999999999996</v>
      </c>
      <c r="M56" s="86">
        <v>28</v>
      </c>
      <c r="N56" s="85"/>
      <c r="O56" s="86">
        <f t="shared" si="2"/>
        <v>8</v>
      </c>
      <c r="P56" s="6">
        <f>(5.8-0.4)/0.2</f>
        <v>26.999999999999996</v>
      </c>
      <c r="Q56" s="6">
        <v>28</v>
      </c>
      <c r="R56" s="6"/>
      <c r="S56" s="6">
        <f t="shared" si="3"/>
        <v>4</v>
      </c>
      <c r="T56" s="6"/>
      <c r="U56" s="6"/>
      <c r="W56">
        <f t="shared" si="4"/>
        <v>10</v>
      </c>
      <c r="Y56">
        <v>2</v>
      </c>
    </row>
    <row r="57" spans="2:25" ht="30" x14ac:dyDescent="0.25">
      <c r="B57" s="8"/>
      <c r="C57" s="9" t="s">
        <v>247</v>
      </c>
      <c r="D57" s="37" t="s">
        <v>351</v>
      </c>
      <c r="E57" s="37" t="s">
        <v>9</v>
      </c>
      <c r="F57" s="97" t="s">
        <v>659</v>
      </c>
      <c r="G57" s="21">
        <v>15.8</v>
      </c>
      <c r="H57" s="62">
        <v>1</v>
      </c>
      <c r="I57" s="70">
        <f>7860*O3*(2*(0.24+1.49)+2*0.1-8*0.025)*M57+7860*O3*(2*(0.16+0.68)+2*0.1-6*0.025)*(Q57+U57)*2</f>
        <v>50.749873318960148</v>
      </c>
      <c r="J57" s="71">
        <f>1.15*(7860*(T3*(5.8+4.6)*O57+T3*4.6*S57+Q3*4.6*W57+T3*2*Y57))</f>
        <v>224.57369595716995</v>
      </c>
      <c r="L57" s="85">
        <f>(4.6-0.8)/0.2</f>
        <v>18.999999999999996</v>
      </c>
      <c r="M57" s="86">
        <v>20</v>
      </c>
      <c r="N57" s="85"/>
      <c r="O57" s="86">
        <f t="shared" si="2"/>
        <v>8</v>
      </c>
      <c r="P57" s="6">
        <f>(4.6-0.8)/0.2</f>
        <v>18.999999999999996</v>
      </c>
      <c r="Q57" s="6">
        <v>20</v>
      </c>
      <c r="R57" s="6"/>
      <c r="S57" s="6">
        <f t="shared" si="3"/>
        <v>4</v>
      </c>
      <c r="T57" s="6">
        <f>(5.8-0.8)/0.2</f>
        <v>25</v>
      </c>
      <c r="U57" s="6">
        <v>26</v>
      </c>
      <c r="W57">
        <f t="shared" si="4"/>
        <v>10</v>
      </c>
      <c r="Y57">
        <v>2</v>
      </c>
    </row>
    <row r="58" spans="2:25" x14ac:dyDescent="0.25">
      <c r="B58" s="8"/>
      <c r="C58" s="127"/>
      <c r="D58" s="128"/>
      <c r="E58" s="128"/>
      <c r="F58" s="128"/>
      <c r="G58" s="128"/>
      <c r="H58" s="128"/>
      <c r="I58" s="70"/>
      <c r="J58" s="71"/>
      <c r="L58" s="78"/>
      <c r="M58" s="75"/>
      <c r="N58" s="78"/>
      <c r="O58" s="75"/>
    </row>
    <row r="59" spans="2:25" x14ac:dyDescent="0.25">
      <c r="B59" s="8"/>
      <c r="C59" s="9" t="s">
        <v>227</v>
      </c>
      <c r="D59" s="10" t="s">
        <v>10</v>
      </c>
      <c r="E59" s="37" t="s">
        <v>9</v>
      </c>
      <c r="F59" s="10" t="s">
        <v>89</v>
      </c>
      <c r="G59" s="21">
        <v>3.14</v>
      </c>
      <c r="H59" s="62">
        <v>7</v>
      </c>
      <c r="I59" s="70">
        <f>7860*O3*(2*(0.54+0.4)+2*0.1-6*0.025)*M59*2*H59</f>
        <v>78.062710203266505</v>
      </c>
      <c r="J59" s="71">
        <f>1.15*(7860*(T3*G59*O59))*H59</f>
        <v>319.57140213127332</v>
      </c>
      <c r="L59" s="78">
        <f>(G59-0.24)/0.25</f>
        <v>11.600000000000001</v>
      </c>
      <c r="M59" s="75">
        <v>13</v>
      </c>
      <c r="N59" s="78"/>
      <c r="O59" s="75">
        <f>4+4</f>
        <v>8</v>
      </c>
    </row>
    <row r="60" spans="2:25" x14ac:dyDescent="0.25">
      <c r="B60" s="8"/>
      <c r="C60" s="9" t="s">
        <v>228</v>
      </c>
      <c r="D60" s="10" t="s">
        <v>10</v>
      </c>
      <c r="E60" s="37" t="s">
        <v>9</v>
      </c>
      <c r="F60" s="10" t="s">
        <v>89</v>
      </c>
      <c r="G60" s="21">
        <v>3.14</v>
      </c>
      <c r="H60" s="62">
        <v>13</v>
      </c>
      <c r="I60" s="70">
        <f>7860*O3*(2*(0.54+0.4)+2*0.1-6*0.025)*M60*2*H60</f>
        <v>144.97360466320924</v>
      </c>
      <c r="J60" s="71">
        <f>1.15*(7860*(U3*G60*O60))*H60</f>
        <v>927.32772939878407</v>
      </c>
      <c r="L60" s="78">
        <f>(G60-0.24)/0.25</f>
        <v>11.600000000000001</v>
      </c>
      <c r="M60" s="75">
        <v>13</v>
      </c>
      <c r="N60" s="78"/>
      <c r="O60" s="75">
        <f t="shared" ref="O60:O61" si="5">4+4</f>
        <v>8</v>
      </c>
    </row>
    <row r="61" spans="2:25" x14ac:dyDescent="0.25">
      <c r="B61" s="8"/>
      <c r="C61" s="9" t="s">
        <v>229</v>
      </c>
      <c r="D61" s="10" t="s">
        <v>10</v>
      </c>
      <c r="E61" s="37" t="s">
        <v>9</v>
      </c>
      <c r="F61" s="10" t="s">
        <v>89</v>
      </c>
      <c r="G61" s="21">
        <v>3.14</v>
      </c>
      <c r="H61" s="62">
        <v>6</v>
      </c>
      <c r="I61" s="70">
        <f>7860*O3*(2*(0.54+0.4)+2*0.1-6*0.025)*M61*2*H61</f>
        <v>66.910894459942725</v>
      </c>
      <c r="J61" s="71">
        <f>1.15*(7860*(T3*G61*O61))*H61</f>
        <v>273.91834468394853</v>
      </c>
      <c r="L61" s="78">
        <f t="shared" ref="L61" si="6">(G61-0.24)/0.25</f>
        <v>11.600000000000001</v>
      </c>
      <c r="M61" s="75">
        <v>13</v>
      </c>
      <c r="N61" s="78"/>
      <c r="O61" s="75">
        <f t="shared" si="5"/>
        <v>8</v>
      </c>
    </row>
    <row r="62" spans="2:25" x14ac:dyDescent="0.25">
      <c r="B62" s="8"/>
      <c r="C62" s="127"/>
      <c r="D62" s="128"/>
      <c r="E62" s="128"/>
      <c r="F62" s="128"/>
      <c r="G62" s="128"/>
      <c r="H62" s="128"/>
      <c r="I62" s="70"/>
      <c r="J62" s="71"/>
      <c r="L62" s="78"/>
      <c r="M62" s="75"/>
      <c r="N62" s="78"/>
      <c r="O62" s="75"/>
    </row>
    <row r="63" spans="2:25" x14ac:dyDescent="0.25">
      <c r="B63" s="8"/>
      <c r="C63" s="9" t="s">
        <v>263</v>
      </c>
      <c r="D63" s="10" t="s">
        <v>265</v>
      </c>
      <c r="E63" s="37" t="s">
        <v>9</v>
      </c>
      <c r="F63" s="10" t="s">
        <v>264</v>
      </c>
      <c r="G63" s="92">
        <v>3.14</v>
      </c>
      <c r="H63" s="62">
        <v>4</v>
      </c>
      <c r="I63" s="70">
        <f>7860*O3*(2*(0.24+0.24)+2*0.1-8*0.025)*M63*H63</f>
        <v>11.947421569571279</v>
      </c>
      <c r="J63" s="71">
        <f>1.15*(7860*(R3*G63*O63))*H63</f>
        <v>51.359689628240346</v>
      </c>
      <c r="L63" s="85">
        <f>(G63-0.68)/0.2</f>
        <v>12.299999999999999</v>
      </c>
      <c r="M63" s="86">
        <v>14</v>
      </c>
      <c r="N63" s="85"/>
      <c r="O63" s="86">
        <f>2+2</f>
        <v>4</v>
      </c>
    </row>
    <row r="64" spans="2:25" x14ac:dyDescent="0.25">
      <c r="B64" s="8"/>
      <c r="C64" s="127"/>
      <c r="D64" s="128"/>
      <c r="E64" s="128"/>
      <c r="F64" s="128"/>
      <c r="G64" s="128"/>
      <c r="H64" s="128"/>
      <c r="I64" s="70"/>
      <c r="J64" s="87"/>
      <c r="L64" s="78"/>
      <c r="M64" s="75"/>
      <c r="N64" s="78"/>
      <c r="O64" s="75"/>
    </row>
    <row r="65" spans="2:23" x14ac:dyDescent="0.25">
      <c r="B65" s="8"/>
      <c r="C65" s="95" t="s">
        <v>248</v>
      </c>
      <c r="D65" s="10" t="s">
        <v>15</v>
      </c>
      <c r="E65" s="37" t="s">
        <v>9</v>
      </c>
      <c r="F65" s="10" t="s">
        <v>16</v>
      </c>
      <c r="G65" s="38">
        <v>6.5</v>
      </c>
      <c r="H65" s="62">
        <v>1</v>
      </c>
      <c r="I65" s="107">
        <v>0</v>
      </c>
      <c r="J65" s="103">
        <f>16.4*(G65*3.14-1.22*2.26)</f>
        <v>289.50591999999995</v>
      </c>
      <c r="L65" s="78"/>
      <c r="M65" s="75"/>
      <c r="N65" s="78"/>
      <c r="O65" s="75"/>
    </row>
    <row r="66" spans="2:23" x14ac:dyDescent="0.25">
      <c r="B66" s="8"/>
      <c r="C66" s="95" t="s">
        <v>249</v>
      </c>
      <c r="D66" s="10" t="s">
        <v>15</v>
      </c>
      <c r="E66" s="37" t="s">
        <v>9</v>
      </c>
      <c r="F66" s="10" t="s">
        <v>16</v>
      </c>
      <c r="G66" s="38">
        <v>2.95</v>
      </c>
      <c r="H66" s="62">
        <v>1</v>
      </c>
      <c r="I66" s="107">
        <v>0</v>
      </c>
      <c r="J66" s="103">
        <f>16.4*(G66*3.14)</f>
        <v>151.91320000000002</v>
      </c>
      <c r="L66" s="78"/>
      <c r="M66" s="75"/>
      <c r="N66" s="78"/>
      <c r="O66" s="75"/>
    </row>
    <row r="67" spans="2:23" x14ac:dyDescent="0.25">
      <c r="B67" s="8"/>
      <c r="C67" s="95" t="s">
        <v>250</v>
      </c>
      <c r="D67" s="10" t="s">
        <v>15</v>
      </c>
      <c r="E67" s="37" t="s">
        <v>9</v>
      </c>
      <c r="F67" s="10" t="s">
        <v>16</v>
      </c>
      <c r="G67" s="38">
        <v>4.6500000000000004</v>
      </c>
      <c r="H67" s="62">
        <v>1</v>
      </c>
      <c r="I67" s="107">
        <v>0</v>
      </c>
      <c r="J67" s="103">
        <f>16.4*(G67*3.14-0.8*2.09)</f>
        <v>212.03559999999999</v>
      </c>
      <c r="L67" s="78"/>
      <c r="M67" s="75"/>
      <c r="N67" s="78"/>
      <c r="O67" s="75"/>
    </row>
    <row r="68" spans="2:23" x14ac:dyDescent="0.25">
      <c r="B68" s="8"/>
      <c r="C68" s="95" t="s">
        <v>251</v>
      </c>
      <c r="D68" s="10" t="s">
        <v>15</v>
      </c>
      <c r="E68" s="37" t="s">
        <v>9</v>
      </c>
      <c r="F68" s="10" t="s">
        <v>16</v>
      </c>
      <c r="G68" s="39">
        <v>6.5</v>
      </c>
      <c r="H68" s="62">
        <v>1</v>
      </c>
      <c r="I68" s="107">
        <v>0</v>
      </c>
      <c r="J68" s="103">
        <f>16.4*(G68*3.14)</f>
        <v>334.72399999999999</v>
      </c>
      <c r="L68" s="78"/>
      <c r="M68" s="75"/>
      <c r="N68" s="78"/>
      <c r="O68" s="75"/>
    </row>
    <row r="69" spans="2:23" x14ac:dyDescent="0.25">
      <c r="B69" s="8"/>
      <c r="C69" s="95" t="s">
        <v>252</v>
      </c>
      <c r="D69" s="10" t="s">
        <v>15</v>
      </c>
      <c r="E69" s="37" t="s">
        <v>9</v>
      </c>
      <c r="F69" s="10" t="s">
        <v>16</v>
      </c>
      <c r="G69" s="38">
        <v>11.18</v>
      </c>
      <c r="H69" s="62">
        <v>1</v>
      </c>
      <c r="I69" s="107">
        <v>0</v>
      </c>
      <c r="J69" s="103">
        <f>16.4*(G69*3.14-1.22*2.26)</f>
        <v>530.50720000000001</v>
      </c>
      <c r="L69" s="78"/>
      <c r="M69" s="75"/>
      <c r="N69" s="78"/>
      <c r="O69" s="75"/>
    </row>
    <row r="70" spans="2:23" x14ac:dyDescent="0.25">
      <c r="B70" s="8"/>
      <c r="C70" s="95" t="s">
        <v>253</v>
      </c>
      <c r="D70" s="10" t="s">
        <v>15</v>
      </c>
      <c r="E70" s="37" t="s">
        <v>9</v>
      </c>
      <c r="F70" s="10" t="s">
        <v>16</v>
      </c>
      <c r="G70" s="38">
        <v>4.1500000000000004</v>
      </c>
      <c r="H70" s="62">
        <v>1</v>
      </c>
      <c r="I70" s="107">
        <v>0</v>
      </c>
      <c r="J70" s="103">
        <f>16.4*(G70*3.14-1.18*2.33-1.18*2.33)</f>
        <v>123.52808000000005</v>
      </c>
      <c r="L70" s="78"/>
      <c r="M70" s="75"/>
      <c r="N70" s="78"/>
      <c r="O70" s="75"/>
    </row>
    <row r="71" spans="2:23" x14ac:dyDescent="0.25">
      <c r="B71" s="8"/>
      <c r="C71" s="95" t="s">
        <v>254</v>
      </c>
      <c r="D71" s="10" t="s">
        <v>15</v>
      </c>
      <c r="E71" s="37" t="s">
        <v>9</v>
      </c>
      <c r="F71" s="10" t="s">
        <v>16</v>
      </c>
      <c r="G71" s="38">
        <v>2.2000000000000002</v>
      </c>
      <c r="H71" s="62">
        <v>1</v>
      </c>
      <c r="I71" s="107">
        <v>0</v>
      </c>
      <c r="J71" s="103">
        <f>16.4*(G71*3.14)</f>
        <v>113.29120000000002</v>
      </c>
      <c r="L71" s="78"/>
      <c r="M71" s="75"/>
      <c r="N71" s="78"/>
      <c r="O71" s="75"/>
    </row>
    <row r="72" spans="2:23" x14ac:dyDescent="0.25">
      <c r="B72" s="8"/>
      <c r="C72" s="95" t="s">
        <v>255</v>
      </c>
      <c r="D72" s="10" t="s">
        <v>15</v>
      </c>
      <c r="E72" s="37" t="s">
        <v>9</v>
      </c>
      <c r="F72" s="10" t="s">
        <v>16</v>
      </c>
      <c r="G72" s="38">
        <v>2.2000000000000002</v>
      </c>
      <c r="H72" s="62">
        <v>1</v>
      </c>
      <c r="I72" s="107">
        <v>0</v>
      </c>
      <c r="J72" s="103">
        <f>16.4*(G72*3.14)</f>
        <v>113.29120000000002</v>
      </c>
      <c r="L72" s="78"/>
      <c r="M72" s="75"/>
      <c r="N72" s="78"/>
      <c r="O72" s="75"/>
    </row>
    <row r="73" spans="2:23" x14ac:dyDescent="0.25">
      <c r="B73" s="8"/>
      <c r="C73" s="95" t="s">
        <v>256</v>
      </c>
      <c r="D73" s="10" t="s">
        <v>15</v>
      </c>
      <c r="E73" s="37" t="s">
        <v>9</v>
      </c>
      <c r="F73" s="10" t="s">
        <v>16</v>
      </c>
      <c r="G73" s="38">
        <v>9.24</v>
      </c>
      <c r="H73" s="62">
        <v>1</v>
      </c>
      <c r="I73" s="107">
        <v>0</v>
      </c>
      <c r="J73" s="103">
        <f>16.4*(G73*3.14-1.7*3.14)</f>
        <v>388.27983999999998</v>
      </c>
      <c r="L73" s="78"/>
      <c r="M73" s="75"/>
      <c r="N73" s="78"/>
      <c r="O73" s="75"/>
    </row>
    <row r="74" spans="2:23" x14ac:dyDescent="0.25">
      <c r="B74" s="8"/>
      <c r="C74" s="95" t="s">
        <v>257</v>
      </c>
      <c r="D74" s="10" t="s">
        <v>15</v>
      </c>
      <c r="E74" s="37" t="s">
        <v>9</v>
      </c>
      <c r="F74" s="10" t="s">
        <v>16</v>
      </c>
      <c r="G74" s="38">
        <v>6.5</v>
      </c>
      <c r="H74" s="62">
        <v>1</v>
      </c>
      <c r="I74" s="107">
        <v>0</v>
      </c>
      <c r="J74" s="103">
        <f>16.4*(G74*3.14-1*2.23)</f>
        <v>298.15199999999999</v>
      </c>
      <c r="L74" s="78"/>
      <c r="M74" s="75"/>
      <c r="N74" s="78"/>
      <c r="O74" s="75"/>
    </row>
    <row r="75" spans="2:23" x14ac:dyDescent="0.25">
      <c r="B75" s="8"/>
      <c r="C75" s="95" t="s">
        <v>258</v>
      </c>
      <c r="D75" s="10" t="s">
        <v>15</v>
      </c>
      <c r="E75" s="37" t="s">
        <v>9</v>
      </c>
      <c r="F75" s="10" t="s">
        <v>16</v>
      </c>
      <c r="G75" s="38">
        <v>6.5</v>
      </c>
      <c r="H75" s="62">
        <v>1</v>
      </c>
      <c r="I75" s="107">
        <v>0</v>
      </c>
      <c r="J75" s="103">
        <f>16.4*(G75*3.14-0.9*2.23*4)</f>
        <v>203.06479999999999</v>
      </c>
      <c r="L75" s="78"/>
      <c r="M75" s="75"/>
      <c r="N75" s="78"/>
      <c r="O75" s="75"/>
    </row>
    <row r="76" spans="2:23" x14ac:dyDescent="0.25">
      <c r="B76" s="8"/>
      <c r="C76" s="127"/>
      <c r="D76" s="128"/>
      <c r="E76" s="128"/>
      <c r="F76" s="128"/>
      <c r="G76" s="128"/>
      <c r="H76" s="128"/>
      <c r="I76" s="70"/>
      <c r="J76" s="87"/>
      <c r="L76" s="78"/>
      <c r="M76" s="75"/>
      <c r="N76" s="78"/>
      <c r="O76" s="75"/>
    </row>
    <row r="77" spans="2:23" x14ac:dyDescent="0.25">
      <c r="B77" s="8"/>
      <c r="C77" s="9" t="s">
        <v>259</v>
      </c>
      <c r="D77" s="10" t="s">
        <v>17</v>
      </c>
      <c r="E77" s="37" t="s">
        <v>9</v>
      </c>
      <c r="F77" s="10" t="s">
        <v>60</v>
      </c>
      <c r="G77" s="40" t="s">
        <v>8</v>
      </c>
      <c r="H77" s="62">
        <v>1</v>
      </c>
      <c r="I77" s="70">
        <v>0</v>
      </c>
      <c r="J77" s="71">
        <f>1.15*(4675+238+108+4675+49+51+58+162+259+159+70+164+49+8+7+33+313+161+90+304+208+306+157+8+76+52+57+8+649)</f>
        <v>15127.099999999999</v>
      </c>
      <c r="L77" s="78"/>
      <c r="M77" s="75"/>
      <c r="N77" s="78"/>
      <c r="O77" s="75"/>
    </row>
    <row r="78" spans="2:23" x14ac:dyDescent="0.25">
      <c r="B78" s="8"/>
      <c r="C78" s="127"/>
      <c r="D78" s="128"/>
      <c r="E78" s="128"/>
      <c r="F78" s="128"/>
      <c r="G78" s="128"/>
      <c r="H78" s="128"/>
      <c r="I78" s="70"/>
      <c r="J78" s="87"/>
      <c r="L78" s="78"/>
      <c r="M78" s="75"/>
      <c r="N78" s="78"/>
      <c r="O78" s="75"/>
    </row>
    <row r="79" spans="2:23" ht="30" x14ac:dyDescent="0.25">
      <c r="B79" s="8"/>
      <c r="C79" s="41" t="s">
        <v>260</v>
      </c>
      <c r="D79" s="10" t="s">
        <v>56</v>
      </c>
      <c r="E79" s="37" t="s">
        <v>9</v>
      </c>
      <c r="F79" s="37" t="s">
        <v>271</v>
      </c>
      <c r="G79" s="40" t="s">
        <v>8</v>
      </c>
      <c r="H79" s="117">
        <v>1</v>
      </c>
      <c r="I79" s="70">
        <f>7860*(O3*(1.32-2*0.025)*(M79+Q79))*1.5+7860*(O3*(0.78-2*0.025)*U79)*2</f>
        <v>18.287822190476575</v>
      </c>
      <c r="J79" s="71">
        <f>1.15*(7860*(Q3*(3.91+3.93)*O79))*1.5+1.15*(7860*(R3*2.64*W79))*2</f>
        <v>127.17247989158238</v>
      </c>
      <c r="L79" s="85">
        <f>3.91/0.25</f>
        <v>15.64</v>
      </c>
      <c r="M79" s="86">
        <v>17</v>
      </c>
      <c r="N79" s="85">
        <f>(1.32-2*0.025)/0.12</f>
        <v>10.583333333333334</v>
      </c>
      <c r="O79" s="86">
        <v>12</v>
      </c>
      <c r="P79" s="6">
        <f>3.93/0.25</f>
        <v>15.72</v>
      </c>
      <c r="Q79" s="6">
        <v>17</v>
      </c>
      <c r="T79" s="6">
        <f>(2.64-2*0.025)/0.25</f>
        <v>10.360000000000001</v>
      </c>
      <c r="U79" s="6">
        <v>12</v>
      </c>
      <c r="V79">
        <f>(0.78-2*0.025)/0.2</f>
        <v>3.65</v>
      </c>
      <c r="W79">
        <v>5</v>
      </c>
    </row>
    <row r="80" spans="2:23" x14ac:dyDescent="0.25">
      <c r="B80" s="8"/>
      <c r="C80" s="9" t="s">
        <v>261</v>
      </c>
      <c r="D80" s="10" t="s">
        <v>63</v>
      </c>
      <c r="E80" s="37" t="s">
        <v>9</v>
      </c>
      <c r="F80" s="10" t="s">
        <v>190</v>
      </c>
      <c r="G80" s="38">
        <v>3.14</v>
      </c>
      <c r="H80" s="111">
        <v>1</v>
      </c>
      <c r="I80" s="70">
        <f>7860*O3*(2*(0.24+0.38)+2*0.1-8*0.025)*M80</f>
        <v>5.2358863872600327</v>
      </c>
      <c r="J80" s="71">
        <f>1.15*(7860*(T3*G80*O80))+1.15*(7860*(R3*G80*Q80))</f>
        <v>17.833225565361232</v>
      </c>
      <c r="L80" s="85">
        <f>(G80-2*0.25)/0.15</f>
        <v>17.600000000000001</v>
      </c>
      <c r="M80" s="86">
        <v>19</v>
      </c>
      <c r="N80" s="85"/>
      <c r="O80" s="86">
        <f>2</f>
        <v>2</v>
      </c>
      <c r="P80" s="6"/>
      <c r="Q80" s="6">
        <f>2</f>
        <v>2</v>
      </c>
    </row>
    <row r="81" spans="2:15" x14ac:dyDescent="0.25">
      <c r="B81" s="8"/>
      <c r="C81" s="9" t="s">
        <v>262</v>
      </c>
      <c r="D81" s="10" t="s">
        <v>63</v>
      </c>
      <c r="E81" s="37" t="s">
        <v>9</v>
      </c>
      <c r="F81" s="10" t="s">
        <v>191</v>
      </c>
      <c r="G81" s="101">
        <v>2.64</v>
      </c>
      <c r="H81" s="111">
        <v>1</v>
      </c>
      <c r="I81" s="70">
        <f>7860*O3*(2*(0.54+0.2)+2*0.1-6*0.025)*M81*2</f>
        <v>12.920816407270724</v>
      </c>
      <c r="J81" s="71">
        <f>1.15*(7860*(R3*G81*O81))</f>
        <v>29.687209132247208</v>
      </c>
      <c r="L81" s="85">
        <f>(G81)/0.15</f>
        <v>17.600000000000001</v>
      </c>
      <c r="M81" s="86">
        <v>19</v>
      </c>
      <c r="N81" s="85"/>
      <c r="O81" s="86">
        <f>4+7</f>
        <v>11</v>
      </c>
    </row>
    <row r="82" spans="2:15" x14ac:dyDescent="0.25">
      <c r="C82" s="155"/>
      <c r="D82" s="156"/>
      <c r="E82" s="156"/>
      <c r="F82" s="156"/>
      <c r="G82" s="156"/>
      <c r="H82" s="156"/>
      <c r="I82" s="70"/>
      <c r="J82" s="71"/>
      <c r="L82" s="85"/>
      <c r="M82" s="86"/>
      <c r="N82" s="85"/>
      <c r="O82" s="86"/>
    </row>
    <row r="83" spans="2:15" ht="45.75" thickBot="1" x14ac:dyDescent="0.3">
      <c r="C83" s="51" t="s">
        <v>451</v>
      </c>
      <c r="D83" s="42" t="s">
        <v>444</v>
      </c>
      <c r="E83" s="43" t="s">
        <v>445</v>
      </c>
      <c r="F83" s="43" t="s">
        <v>456</v>
      </c>
      <c r="G83" s="44">
        <v>3.65</v>
      </c>
      <c r="H83" s="118">
        <v>1</v>
      </c>
      <c r="I83" s="72"/>
      <c r="J83" s="73"/>
      <c r="L83" s="90"/>
      <c r="M83" s="91"/>
      <c r="N83" s="90"/>
      <c r="O83" s="91"/>
    </row>
    <row r="84" spans="2:15" ht="15.75" thickBot="1" x14ac:dyDescent="0.3">
      <c r="C84" s="126" t="s">
        <v>648</v>
      </c>
      <c r="D84" s="126"/>
      <c r="E84" s="126"/>
      <c r="F84" s="126"/>
      <c r="G84" s="126"/>
      <c r="H84" s="126"/>
      <c r="I84" s="119">
        <f>SUM(I35:I83)</f>
        <v>805.92425599963508</v>
      </c>
      <c r="J84" s="120">
        <f>SUM(J35:J83)</f>
        <v>21509.130599988915</v>
      </c>
    </row>
  </sheetData>
  <mergeCells count="14">
    <mergeCell ref="I32:J32"/>
    <mergeCell ref="C84:H84"/>
    <mergeCell ref="C82:H82"/>
    <mergeCell ref="C2:H2"/>
    <mergeCell ref="C32:H32"/>
    <mergeCell ref="C34:H34"/>
    <mergeCell ref="C37:H37"/>
    <mergeCell ref="C47:H47"/>
    <mergeCell ref="C49:H49"/>
    <mergeCell ref="C76:H76"/>
    <mergeCell ref="C78:H78"/>
    <mergeCell ref="C64:H64"/>
    <mergeCell ref="C58:H58"/>
    <mergeCell ref="C62:H62"/>
  </mergeCells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7A6A2-061A-4B44-AC8E-C514DCF50B66}">
  <dimension ref="B1:V32"/>
  <sheetViews>
    <sheetView workbookViewId="0">
      <selection activeCell="J30" sqref="J30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28515625" customWidth="1"/>
    <col min="11" max="11" width="9.5703125" bestFit="1" customWidth="1"/>
    <col min="12" max="12" width="10.5703125" bestFit="1" customWidth="1"/>
  </cols>
  <sheetData>
    <row r="1" spans="2:22" ht="15.75" thickBot="1" x14ac:dyDescent="0.3">
      <c r="B1" s="8"/>
      <c r="C1" s="8"/>
      <c r="D1" s="8"/>
      <c r="E1" s="8"/>
      <c r="F1" s="8"/>
      <c r="G1" s="8"/>
      <c r="H1" s="8"/>
      <c r="I1" s="8"/>
      <c r="J1" s="8"/>
    </row>
    <row r="2" spans="2:22" ht="15.75" thickBot="1" x14ac:dyDescent="0.3">
      <c r="B2" s="8"/>
      <c r="C2" s="131" t="s">
        <v>3</v>
      </c>
      <c r="D2" s="132"/>
      <c r="E2" s="132"/>
      <c r="F2" s="132"/>
      <c r="G2" s="132"/>
      <c r="H2" s="135"/>
      <c r="I2" s="124" t="s">
        <v>647</v>
      </c>
      <c r="J2" s="125"/>
      <c r="L2" s="3" t="s">
        <v>11</v>
      </c>
      <c r="O2" s="67" t="str">
        <f>F!O2</f>
        <v>6 [m2]</v>
      </c>
      <c r="P2" s="67" t="str">
        <f>F!P2</f>
        <v>8 [m2]</v>
      </c>
      <c r="Q2" s="67" t="str">
        <f>F!Q2</f>
        <v>10 [m2]</v>
      </c>
      <c r="R2" s="67" t="str">
        <f>F!R2</f>
        <v>12 [m2]</v>
      </c>
      <c r="S2" s="67" t="str">
        <f>F!S2</f>
        <v>14 [m2]</v>
      </c>
      <c r="T2" s="67" t="str">
        <f>F!T2</f>
        <v>16 [m2]</v>
      </c>
      <c r="U2" s="67" t="str">
        <f>F!U2</f>
        <v>20 [m2]</v>
      </c>
      <c r="V2" s="67" t="str">
        <f>F!V2</f>
        <v>24 [m2]</v>
      </c>
    </row>
    <row r="3" spans="2:22" ht="30" customHeight="1" thickBot="1" x14ac:dyDescent="0.3">
      <c r="B3" s="8"/>
      <c r="C3" s="45" t="s">
        <v>2</v>
      </c>
      <c r="D3" s="46" t="s">
        <v>0</v>
      </c>
      <c r="E3" s="47" t="s">
        <v>4</v>
      </c>
      <c r="F3" s="47" t="s">
        <v>5</v>
      </c>
      <c r="G3" s="47" t="s">
        <v>1</v>
      </c>
      <c r="H3" s="48" t="s">
        <v>6</v>
      </c>
      <c r="I3" s="98" t="s">
        <v>649</v>
      </c>
      <c r="J3" s="99" t="s">
        <v>650</v>
      </c>
      <c r="L3" s="4"/>
      <c r="O3" s="67">
        <f>F!O3</f>
        <v>2.8274333882308137E-5</v>
      </c>
      <c r="P3" s="67">
        <f>F!P3</f>
        <v>5.0265482457436686E-5</v>
      </c>
      <c r="Q3" s="67">
        <f>F!Q3</f>
        <v>7.8539816339744827E-5</v>
      </c>
      <c r="R3" s="67">
        <f>F!R3</f>
        <v>1.1309733552923255E-4</v>
      </c>
      <c r="S3" s="67">
        <f>F!S3</f>
        <v>1.5393804002589989E-4</v>
      </c>
      <c r="T3" s="67">
        <f>F!T3</f>
        <v>2.0106192982974675E-4</v>
      </c>
      <c r="U3" s="67">
        <f>F!U3</f>
        <v>3.1415926535897931E-4</v>
      </c>
      <c r="V3" s="67">
        <f>F!V3</f>
        <v>4.523893421169302E-4</v>
      </c>
    </row>
    <row r="4" spans="2:22" ht="15" customHeight="1" x14ac:dyDescent="0.25">
      <c r="B4" s="8"/>
      <c r="C4" s="140"/>
      <c r="D4" s="141"/>
      <c r="E4" s="141"/>
      <c r="F4" s="141"/>
      <c r="G4" s="141"/>
      <c r="H4" s="141"/>
      <c r="I4" s="45"/>
      <c r="J4" s="48"/>
      <c r="L4" s="4"/>
      <c r="O4" s="67"/>
      <c r="P4" s="67"/>
      <c r="Q4" s="67"/>
      <c r="R4" s="67"/>
      <c r="S4" s="67"/>
      <c r="T4" s="67"/>
      <c r="U4" s="67"/>
      <c r="V4" s="67"/>
    </row>
    <row r="5" spans="2:22" ht="15" customHeight="1" x14ac:dyDescent="0.25">
      <c r="B5" s="8"/>
      <c r="C5" s="95" t="s">
        <v>14</v>
      </c>
      <c r="D5" s="10" t="s">
        <v>15</v>
      </c>
      <c r="E5" s="11" t="s">
        <v>9</v>
      </c>
      <c r="F5" s="12" t="s">
        <v>16</v>
      </c>
      <c r="G5" s="13">
        <v>6.5</v>
      </c>
      <c r="H5" s="110">
        <v>1</v>
      </c>
      <c r="I5" s="107">
        <v>0</v>
      </c>
      <c r="J5" s="103">
        <f>16.4*(G5*4.97)</f>
        <v>529.80199999999991</v>
      </c>
      <c r="L5" s="83"/>
      <c r="M5" s="84"/>
      <c r="N5" s="83"/>
      <c r="O5" s="84"/>
    </row>
    <row r="6" spans="2:22" ht="15" customHeight="1" x14ac:dyDescent="0.25">
      <c r="B6" s="8"/>
      <c r="C6" s="95" t="s">
        <v>21</v>
      </c>
      <c r="D6" s="10" t="s">
        <v>15</v>
      </c>
      <c r="E6" s="11" t="s">
        <v>9</v>
      </c>
      <c r="F6" s="12" t="s">
        <v>16</v>
      </c>
      <c r="G6" s="13">
        <v>2.95</v>
      </c>
      <c r="H6" s="110">
        <v>1</v>
      </c>
      <c r="I6" s="107">
        <v>0</v>
      </c>
      <c r="J6" s="103">
        <f>16.4*(G6*4.97)</f>
        <v>240.44859999999997</v>
      </c>
      <c r="L6" s="78"/>
      <c r="M6" s="75"/>
      <c r="N6" s="78"/>
      <c r="O6" s="75"/>
    </row>
    <row r="7" spans="2:22" ht="15" customHeight="1" x14ac:dyDescent="0.25">
      <c r="B7" s="8"/>
      <c r="C7" s="95" t="s">
        <v>22</v>
      </c>
      <c r="D7" s="10" t="s">
        <v>15</v>
      </c>
      <c r="E7" s="11" t="s">
        <v>9</v>
      </c>
      <c r="F7" s="12" t="s">
        <v>16</v>
      </c>
      <c r="G7" s="13">
        <v>4.6500000000000004</v>
      </c>
      <c r="H7" s="110">
        <v>1</v>
      </c>
      <c r="I7" s="107">
        <v>0</v>
      </c>
      <c r="J7" s="103">
        <f>16.4*(G7*4.97-0.8*2.09)</f>
        <v>351.59139999999996</v>
      </c>
      <c r="L7" s="85"/>
      <c r="M7" s="86"/>
      <c r="N7" s="85"/>
      <c r="O7" s="86"/>
    </row>
    <row r="8" spans="2:22" ht="15" customHeight="1" x14ac:dyDescent="0.25">
      <c r="B8" s="8"/>
      <c r="C8" s="95" t="s">
        <v>23</v>
      </c>
      <c r="D8" s="10" t="s">
        <v>15</v>
      </c>
      <c r="E8" s="11" t="s">
        <v>9</v>
      </c>
      <c r="F8" s="12" t="s">
        <v>16</v>
      </c>
      <c r="G8" s="13">
        <v>6.5</v>
      </c>
      <c r="H8" s="110">
        <v>1</v>
      </c>
      <c r="I8" s="107">
        <v>0</v>
      </c>
      <c r="J8" s="103">
        <f>16.4*(G8*4.97)</f>
        <v>529.80199999999991</v>
      </c>
      <c r="L8" s="85"/>
      <c r="M8" s="86"/>
      <c r="N8" s="85"/>
      <c r="O8" s="86"/>
    </row>
    <row r="9" spans="2:22" ht="15" customHeight="1" x14ac:dyDescent="0.25">
      <c r="B9" s="8"/>
      <c r="C9" s="95" t="s">
        <v>24</v>
      </c>
      <c r="D9" s="10" t="s">
        <v>15</v>
      </c>
      <c r="E9" s="11" t="s">
        <v>9</v>
      </c>
      <c r="F9" s="12" t="s">
        <v>16</v>
      </c>
      <c r="G9" s="13">
        <v>7.04</v>
      </c>
      <c r="H9" s="110">
        <v>1</v>
      </c>
      <c r="I9" s="107">
        <v>0</v>
      </c>
      <c r="J9" s="103">
        <f>16.4*(G9*4.97-1.22*2.19)</f>
        <v>529.99879999999996</v>
      </c>
      <c r="K9" s="6"/>
      <c r="L9" s="85"/>
      <c r="M9" s="86"/>
      <c r="N9" s="85"/>
      <c r="O9" s="86"/>
    </row>
    <row r="10" spans="2:22" ht="15" customHeight="1" x14ac:dyDescent="0.25">
      <c r="B10" s="8"/>
      <c r="C10" s="95" t="s">
        <v>25</v>
      </c>
      <c r="D10" s="10" t="s">
        <v>15</v>
      </c>
      <c r="E10" s="11" t="s">
        <v>9</v>
      </c>
      <c r="F10" s="12" t="s">
        <v>16</v>
      </c>
      <c r="G10" s="13">
        <v>4.1500000000000004</v>
      </c>
      <c r="H10" s="110">
        <v>1</v>
      </c>
      <c r="I10" s="107">
        <v>0</v>
      </c>
      <c r="J10" s="103">
        <f>16.4*(G10*4.97-1.53*2.29-1.53*2.29)</f>
        <v>223.33684</v>
      </c>
      <c r="K10" s="6"/>
      <c r="L10" s="85"/>
      <c r="M10" s="86"/>
      <c r="N10" s="85"/>
      <c r="O10" s="86"/>
    </row>
    <row r="11" spans="2:22" ht="15" customHeight="1" x14ac:dyDescent="0.25">
      <c r="B11" s="8"/>
      <c r="C11" s="95" t="s">
        <v>26</v>
      </c>
      <c r="D11" s="10" t="s">
        <v>15</v>
      </c>
      <c r="E11" s="11" t="s">
        <v>9</v>
      </c>
      <c r="F11" s="12" t="s">
        <v>16</v>
      </c>
      <c r="G11" s="13">
        <v>2.2000000000000002</v>
      </c>
      <c r="H11" s="110">
        <v>1</v>
      </c>
      <c r="I11" s="107">
        <v>0</v>
      </c>
      <c r="J11" s="103">
        <f>16.4*(G11*4.97)</f>
        <v>179.3176</v>
      </c>
      <c r="L11" s="85"/>
      <c r="M11" s="86"/>
      <c r="N11" s="85"/>
      <c r="O11" s="86"/>
    </row>
    <row r="12" spans="2:22" ht="15" customHeight="1" x14ac:dyDescent="0.25">
      <c r="B12" s="8"/>
      <c r="C12" s="95" t="s">
        <v>27</v>
      </c>
      <c r="D12" s="10" t="s">
        <v>15</v>
      </c>
      <c r="E12" s="11" t="s">
        <v>9</v>
      </c>
      <c r="F12" s="12" t="s">
        <v>16</v>
      </c>
      <c r="G12" s="13">
        <v>2.2000000000000002</v>
      </c>
      <c r="H12" s="110">
        <v>1</v>
      </c>
      <c r="I12" s="107">
        <v>0</v>
      </c>
      <c r="J12" s="103">
        <f>16.4*(G12*4.97)</f>
        <v>179.3176</v>
      </c>
      <c r="L12" s="85"/>
      <c r="M12" s="86"/>
      <c r="N12" s="85"/>
      <c r="O12" s="86"/>
    </row>
    <row r="13" spans="2:22" ht="15" customHeight="1" x14ac:dyDescent="0.25">
      <c r="B13" s="8"/>
      <c r="C13" s="95" t="s">
        <v>28</v>
      </c>
      <c r="D13" s="10" t="s">
        <v>15</v>
      </c>
      <c r="E13" s="11" t="s">
        <v>9</v>
      </c>
      <c r="F13" s="12" t="s">
        <v>16</v>
      </c>
      <c r="G13" s="13">
        <v>7.04</v>
      </c>
      <c r="H13" s="110">
        <v>1</v>
      </c>
      <c r="I13" s="107">
        <v>0</v>
      </c>
      <c r="J13" s="103">
        <f>16.4*(G13*4.97)</f>
        <v>573.81631999999991</v>
      </c>
      <c r="L13" s="85"/>
      <c r="M13" s="86"/>
      <c r="N13" s="85"/>
      <c r="O13" s="86"/>
    </row>
    <row r="14" spans="2:22" ht="15" customHeight="1" x14ac:dyDescent="0.25">
      <c r="B14" s="8"/>
      <c r="C14" s="164"/>
      <c r="D14" s="165"/>
      <c r="E14" s="165"/>
      <c r="F14" s="165"/>
      <c r="G14" s="165"/>
      <c r="H14" s="165"/>
      <c r="I14" s="70"/>
      <c r="J14" s="71"/>
      <c r="L14" s="85"/>
      <c r="M14" s="86"/>
      <c r="N14" s="85"/>
      <c r="O14" s="86"/>
    </row>
    <row r="15" spans="2:22" ht="15" customHeight="1" x14ac:dyDescent="0.25">
      <c r="B15" s="8"/>
      <c r="C15" s="9" t="s">
        <v>637</v>
      </c>
      <c r="D15" s="10" t="s">
        <v>638</v>
      </c>
      <c r="E15" s="11" t="s">
        <v>9</v>
      </c>
      <c r="F15" s="12" t="s">
        <v>661</v>
      </c>
      <c r="G15" s="13">
        <v>5.4</v>
      </c>
      <c r="H15" s="110">
        <v>1</v>
      </c>
      <c r="I15" s="70">
        <f>7860*O3*(2*(0.24+0.2)+2*0.1-8*0.025)*M15</f>
        <v>4.4980619897344258</v>
      </c>
      <c r="J15" s="71">
        <f>1.15*(7860*(R3*G15*O15))</f>
        <v>22.081395222332631</v>
      </c>
      <c r="L15" s="85">
        <f>(G15-0.24*1)/0.25</f>
        <v>20.64</v>
      </c>
      <c r="M15" s="86">
        <v>23</v>
      </c>
      <c r="N15" s="85"/>
      <c r="O15" s="86">
        <f>2+2</f>
        <v>4</v>
      </c>
    </row>
    <row r="16" spans="2:22" ht="15" customHeight="1" x14ac:dyDescent="0.25">
      <c r="B16" s="8"/>
      <c r="C16" s="9" t="s">
        <v>639</v>
      </c>
      <c r="D16" s="10" t="s">
        <v>638</v>
      </c>
      <c r="E16" s="11" t="s">
        <v>9</v>
      </c>
      <c r="F16" s="12" t="s">
        <v>661</v>
      </c>
      <c r="G16" s="13">
        <v>4.04</v>
      </c>
      <c r="H16" s="110">
        <v>1</v>
      </c>
      <c r="I16" s="70">
        <f>7860*O3*(2*(0.24+0.2)+2*0.1-8*0.025)*M16</f>
        <v>3.3246545141515322</v>
      </c>
      <c r="J16" s="71">
        <f>1.15*(7860*(R3*G16*O16))</f>
        <v>16.520154944115525</v>
      </c>
      <c r="L16" s="85">
        <f>(G16-0.24*2)/0.25</f>
        <v>14.24</v>
      </c>
      <c r="M16" s="86">
        <v>17</v>
      </c>
      <c r="N16" s="85"/>
      <c r="O16" s="86">
        <f t="shared" ref="O16:O26" si="0">2+2</f>
        <v>4</v>
      </c>
    </row>
    <row r="17" spans="2:17" ht="15" customHeight="1" x14ac:dyDescent="0.25">
      <c r="B17" s="8"/>
      <c r="C17" s="9" t="s">
        <v>640</v>
      </c>
      <c r="D17" s="10" t="s">
        <v>638</v>
      </c>
      <c r="E17" s="11" t="s">
        <v>9</v>
      </c>
      <c r="F17" s="12" t="s">
        <v>661</v>
      </c>
      <c r="G17" s="13">
        <v>5.4</v>
      </c>
      <c r="H17" s="110">
        <v>1</v>
      </c>
      <c r="I17" s="70">
        <f>7860*O3*(2*(0.24+0.2)+2*0.1-8*0.025)*M17</f>
        <v>4.4980619897344258</v>
      </c>
      <c r="J17" s="71">
        <f>1.15*(7860*(R3*G17*O17))</f>
        <v>22.081395222332631</v>
      </c>
      <c r="L17" s="85">
        <f>(G17-0.24*1)/0.25</f>
        <v>20.64</v>
      </c>
      <c r="M17" s="86">
        <v>23</v>
      </c>
      <c r="N17" s="85"/>
      <c r="O17" s="86">
        <f t="shared" si="0"/>
        <v>4</v>
      </c>
    </row>
    <row r="18" spans="2:17" ht="15" customHeight="1" x14ac:dyDescent="0.25">
      <c r="B18" s="8"/>
      <c r="C18" s="9" t="s">
        <v>641</v>
      </c>
      <c r="D18" s="10" t="s">
        <v>638</v>
      </c>
      <c r="E18" s="11" t="s">
        <v>9</v>
      </c>
      <c r="F18" s="12" t="s">
        <v>661</v>
      </c>
      <c r="G18" s="13">
        <v>8.9</v>
      </c>
      <c r="H18" s="110">
        <v>1</v>
      </c>
      <c r="I18" s="70">
        <f>7860*O3*(2*(0.24+0.2)+2*0.1-8*0.025)*M18</f>
        <v>7.2360127660945111</v>
      </c>
      <c r="J18" s="71">
        <f>1.15*(7860*(R3*G18*O18))</f>
        <v>36.393410644214896</v>
      </c>
      <c r="L18" s="85">
        <f>(G18-0.24*2)/0.25</f>
        <v>33.68</v>
      </c>
      <c r="M18" s="86">
        <v>37</v>
      </c>
      <c r="N18" s="85"/>
      <c r="O18" s="86">
        <f t="shared" si="0"/>
        <v>4</v>
      </c>
    </row>
    <row r="19" spans="2:17" ht="15" customHeight="1" x14ac:dyDescent="0.25">
      <c r="B19" s="8"/>
      <c r="C19" s="9" t="s">
        <v>642</v>
      </c>
      <c r="D19" s="10" t="s">
        <v>638</v>
      </c>
      <c r="E19" s="11" t="s">
        <v>9</v>
      </c>
      <c r="F19" s="12" t="s">
        <v>661</v>
      </c>
      <c r="G19" s="13">
        <v>5.4</v>
      </c>
      <c r="H19" s="110">
        <v>1</v>
      </c>
      <c r="I19" s="70">
        <f>7860*O3*(2*(0.24+0.2)+2*0.1-8*0.025)*M19</f>
        <v>4.4980619897344258</v>
      </c>
      <c r="J19" s="71">
        <f>1.15*(7860*(R3*G19*O19))</f>
        <v>22.081395222332631</v>
      </c>
      <c r="L19" s="85">
        <f>(G19-0.24*1)/0.25</f>
        <v>20.64</v>
      </c>
      <c r="M19" s="86">
        <v>23</v>
      </c>
      <c r="N19" s="85"/>
      <c r="O19" s="86">
        <f t="shared" si="0"/>
        <v>4</v>
      </c>
    </row>
    <row r="20" spans="2:17" ht="15" customHeight="1" x14ac:dyDescent="0.25">
      <c r="B20" s="8"/>
      <c r="C20" s="9" t="s">
        <v>643</v>
      </c>
      <c r="D20" s="10" t="s">
        <v>638</v>
      </c>
      <c r="E20" s="11" t="s">
        <v>9</v>
      </c>
      <c r="F20" s="12" t="s">
        <v>661</v>
      </c>
      <c r="G20" s="13">
        <v>4.7300000000000004</v>
      </c>
      <c r="H20" s="110">
        <v>1</v>
      </c>
      <c r="I20" s="70">
        <f>7860*O3*(2*(0.24+0.2)+2*0.1-8*0.025)*M20</f>
        <v>3.9113582519429793</v>
      </c>
      <c r="J20" s="71">
        <f>1.15*(7860*(R3*G20*O20))</f>
        <v>19.34166655585803</v>
      </c>
      <c r="L20" s="85">
        <f>(G20-0.24*1)/0.25</f>
        <v>17.96</v>
      </c>
      <c r="M20" s="86">
        <v>20</v>
      </c>
      <c r="N20" s="85"/>
      <c r="O20" s="86">
        <f t="shared" si="0"/>
        <v>4</v>
      </c>
    </row>
    <row r="21" spans="2:17" ht="15" customHeight="1" x14ac:dyDescent="0.25">
      <c r="B21" s="8"/>
      <c r="C21" s="9" t="s">
        <v>644</v>
      </c>
      <c r="D21" s="10" t="s">
        <v>638</v>
      </c>
      <c r="E21" s="11" t="s">
        <v>9</v>
      </c>
      <c r="F21" s="12" t="s">
        <v>661</v>
      </c>
      <c r="G21" s="13">
        <v>5.8</v>
      </c>
      <c r="H21" s="110">
        <v>1</v>
      </c>
      <c r="I21" s="70">
        <f>7860*O3*(2*(0.24+0.2)+2*0.1-8*0.025)*M21</f>
        <v>4.6936299023315744</v>
      </c>
      <c r="J21" s="71">
        <f>1.15*(7860*(R3*G21*O21))</f>
        <v>23.717054127690602</v>
      </c>
      <c r="L21" s="85">
        <f>(G21-0.24*2)/0.25</f>
        <v>21.28</v>
      </c>
      <c r="M21" s="86">
        <v>24</v>
      </c>
      <c r="N21" s="85"/>
      <c r="O21" s="86">
        <f t="shared" si="0"/>
        <v>4</v>
      </c>
    </row>
    <row r="22" spans="2:17" ht="15" customHeight="1" x14ac:dyDescent="0.25">
      <c r="B22" s="8"/>
      <c r="C22" s="9" t="s">
        <v>645</v>
      </c>
      <c r="D22" s="10" t="s">
        <v>638</v>
      </c>
      <c r="E22" s="11" t="s">
        <v>9</v>
      </c>
      <c r="F22" s="12" t="s">
        <v>661</v>
      </c>
      <c r="G22" s="13">
        <v>10.16</v>
      </c>
      <c r="H22" s="110">
        <v>1</v>
      </c>
      <c r="I22" s="70">
        <f>7860*O3*(2*(0.24+0.2)+2*0.1-8*0.025)*M22</f>
        <v>8.2138523290802556</v>
      </c>
      <c r="J22" s="71">
        <f>1.15*(7860*(R3*G22*O22))</f>
        <v>41.545736196092506</v>
      </c>
      <c r="L22" s="85">
        <f>(G22-0.24*3)/0.25</f>
        <v>37.76</v>
      </c>
      <c r="M22" s="86">
        <v>42</v>
      </c>
      <c r="N22" s="85"/>
      <c r="O22" s="86">
        <f t="shared" si="0"/>
        <v>4</v>
      </c>
    </row>
    <row r="23" spans="2:17" ht="15" customHeight="1" x14ac:dyDescent="0.25">
      <c r="B23" s="8"/>
      <c r="C23" s="9" t="s">
        <v>646</v>
      </c>
      <c r="D23" s="10" t="s">
        <v>638</v>
      </c>
      <c r="E23" s="11" t="s">
        <v>9</v>
      </c>
      <c r="F23" s="12" t="s">
        <v>661</v>
      </c>
      <c r="G23" s="13">
        <v>1.55</v>
      </c>
      <c r="H23" s="110">
        <v>1</v>
      </c>
      <c r="I23" s="70">
        <f>7860*O3*(2*(0.24+0.2)+2*0.1-8*0.025)*M23</f>
        <v>1.5645433007771916</v>
      </c>
      <c r="J23" s="71">
        <f>1.15*(7860*(R3*G23*O23))</f>
        <v>6.3381782582621442</v>
      </c>
      <c r="L23" s="85">
        <f>(G23)/0.25</f>
        <v>6.2</v>
      </c>
      <c r="M23" s="86">
        <v>8</v>
      </c>
      <c r="N23" s="85"/>
      <c r="O23" s="86">
        <f t="shared" si="0"/>
        <v>4</v>
      </c>
    </row>
    <row r="24" spans="2:17" ht="15" customHeight="1" x14ac:dyDescent="0.25">
      <c r="B24" s="8"/>
      <c r="C24" s="127"/>
      <c r="D24" s="128"/>
      <c r="E24" s="128"/>
      <c r="F24" s="128"/>
      <c r="G24" s="128"/>
      <c r="H24" s="128"/>
      <c r="I24" s="70"/>
      <c r="J24" s="71"/>
      <c r="L24" s="85"/>
      <c r="M24" s="86"/>
      <c r="N24" s="85"/>
      <c r="O24" s="86"/>
    </row>
    <row r="25" spans="2:17" ht="15" customHeight="1" x14ac:dyDescent="0.25">
      <c r="B25" s="8"/>
      <c r="C25" s="9" t="s">
        <v>660</v>
      </c>
      <c r="D25" s="10" t="s">
        <v>265</v>
      </c>
      <c r="E25" s="37" t="s">
        <v>9</v>
      </c>
      <c r="F25" s="10" t="s">
        <v>264</v>
      </c>
      <c r="G25" s="21">
        <v>4.97</v>
      </c>
      <c r="H25" s="62">
        <v>1</v>
      </c>
      <c r="I25" s="70">
        <f>7860*O3*(2*(0.24+0.24)+2*0.1-8*0.025)*M25</f>
        <v>5.333670343558607</v>
      </c>
      <c r="J25" s="71">
        <f>1.15*(7860*(R3*G25*O25))</f>
        <v>20.323061899072812</v>
      </c>
      <c r="L25" s="85">
        <f>(G25-0.2)/0.2</f>
        <v>23.849999999999998</v>
      </c>
      <c r="M25" s="86">
        <v>25</v>
      </c>
      <c r="N25" s="85"/>
      <c r="O25" s="86">
        <f t="shared" si="0"/>
        <v>4</v>
      </c>
    </row>
    <row r="26" spans="2:17" ht="15" customHeight="1" x14ac:dyDescent="0.25">
      <c r="B26" s="8"/>
      <c r="C26" s="9" t="s">
        <v>662</v>
      </c>
      <c r="D26" s="10" t="s">
        <v>265</v>
      </c>
      <c r="E26" s="37" t="s">
        <v>9</v>
      </c>
      <c r="F26" s="10" t="s">
        <v>264</v>
      </c>
      <c r="G26" s="21">
        <v>1.25</v>
      </c>
      <c r="H26" s="62">
        <v>13</v>
      </c>
      <c r="I26" s="70">
        <f>7860*O3*(2*(0.24+0.24)+2*0.1-8*0.025)*M26*H26</f>
        <v>19.41456005055333</v>
      </c>
      <c r="J26" s="71">
        <f>1.15*(7860*(R3*G26*O26))*H26</f>
        <v>66.448643030167631</v>
      </c>
      <c r="L26" s="85">
        <f>(G26-0.2)/0.2</f>
        <v>5.25</v>
      </c>
      <c r="M26" s="86">
        <v>7</v>
      </c>
      <c r="N26" s="85"/>
      <c r="O26" s="86">
        <f t="shared" si="0"/>
        <v>4</v>
      </c>
    </row>
    <row r="27" spans="2:17" ht="15" customHeight="1" x14ac:dyDescent="0.25">
      <c r="B27" s="8"/>
      <c r="C27" s="127"/>
      <c r="D27" s="128"/>
      <c r="E27" s="128"/>
      <c r="F27" s="128"/>
      <c r="G27" s="128"/>
      <c r="H27" s="128"/>
      <c r="I27" s="70"/>
      <c r="J27" s="71"/>
      <c r="L27" s="85"/>
      <c r="M27" s="86"/>
      <c r="N27" s="85"/>
      <c r="O27" s="86"/>
    </row>
    <row r="28" spans="2:17" ht="15" customHeight="1" x14ac:dyDescent="0.25">
      <c r="B28" s="8"/>
      <c r="C28" s="14" t="s">
        <v>18</v>
      </c>
      <c r="D28" s="12" t="s">
        <v>17</v>
      </c>
      <c r="E28" s="11" t="s">
        <v>9</v>
      </c>
      <c r="F28" s="12" t="s">
        <v>20</v>
      </c>
      <c r="G28" s="15" t="s">
        <v>8</v>
      </c>
      <c r="H28" s="121">
        <v>1</v>
      </c>
      <c r="I28" s="70">
        <v>0</v>
      </c>
      <c r="J28" s="71">
        <f>1.15*(325+325)</f>
        <v>747.49999999999989</v>
      </c>
      <c r="L28" s="85"/>
      <c r="M28" s="86"/>
      <c r="N28" s="85"/>
      <c r="O28" s="86"/>
    </row>
    <row r="29" spans="2:17" ht="15" customHeight="1" thickBot="1" x14ac:dyDescent="0.3">
      <c r="B29" s="8"/>
      <c r="C29" s="16" t="s">
        <v>19</v>
      </c>
      <c r="D29" s="17" t="s">
        <v>17</v>
      </c>
      <c r="E29" s="18" t="s">
        <v>9</v>
      </c>
      <c r="F29" s="17" t="s">
        <v>636</v>
      </c>
      <c r="G29" s="19" t="s">
        <v>8</v>
      </c>
      <c r="H29" s="122">
        <v>1</v>
      </c>
      <c r="I29" s="72">
        <f>1.15*(7860*(O3*1*M29))*H29*7.04*1.5*2</f>
        <v>21.590697550725238</v>
      </c>
      <c r="J29" s="73">
        <f>1.15*(7860*(Q3*1*O29))*H29*7.04*1.5+1.15*(7860*(Q3*1*Q29))*H29*7.04*1.5</f>
        <v>59.974159863125671</v>
      </c>
      <c r="L29" s="90"/>
      <c r="M29" s="91">
        <f>1/0.25</f>
        <v>4</v>
      </c>
      <c r="N29" s="90"/>
      <c r="O29" s="91">
        <f>1/0.25</f>
        <v>4</v>
      </c>
      <c r="Q29">
        <f>1/0.25</f>
        <v>4</v>
      </c>
    </row>
    <row r="30" spans="2:17" ht="15.75" thickBot="1" x14ac:dyDescent="0.3">
      <c r="C30" s="126" t="s">
        <v>648</v>
      </c>
      <c r="D30" s="126"/>
      <c r="E30" s="126"/>
      <c r="F30" s="126"/>
      <c r="G30" s="126"/>
      <c r="H30" s="126"/>
      <c r="I30" s="119">
        <f>SUM(I5:I29)</f>
        <v>88.777164978418497</v>
      </c>
      <c r="J30" s="120">
        <f>SUM(J5:J29)</f>
        <v>4441.7774111855961</v>
      </c>
    </row>
    <row r="32" spans="2:17" x14ac:dyDescent="0.25">
      <c r="K32" s="123"/>
      <c r="L32" s="123"/>
    </row>
  </sheetData>
  <mergeCells count="7">
    <mergeCell ref="C2:H2"/>
    <mergeCell ref="I2:J2"/>
    <mergeCell ref="C30:H30"/>
    <mergeCell ref="C4:H4"/>
    <mergeCell ref="C14:H14"/>
    <mergeCell ref="C27:H27"/>
    <mergeCell ref="C24:H2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73BCA-2A2D-4CDE-8C60-9124F379D231}">
  <dimension ref="C2:W112"/>
  <sheetViews>
    <sheetView topLeftCell="A85" workbookViewId="0">
      <selection activeCell="J105" sqref="J105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28515625" customWidth="1"/>
  </cols>
  <sheetData>
    <row r="2" spans="3:23" ht="15.75" thickBot="1" x14ac:dyDescent="0.3">
      <c r="O2" s="67" t="str">
        <f>F!O2</f>
        <v>6 [m2]</v>
      </c>
      <c r="P2" s="67" t="str">
        <f>F!P2</f>
        <v>8 [m2]</v>
      </c>
      <c r="Q2" s="67" t="str">
        <f>F!Q2</f>
        <v>10 [m2]</v>
      </c>
      <c r="R2" s="67" t="str">
        <f>F!R2</f>
        <v>12 [m2]</v>
      </c>
      <c r="S2" s="67" t="str">
        <f>F!S2</f>
        <v>14 [m2]</v>
      </c>
      <c r="T2" s="67" t="str">
        <f>F!T2</f>
        <v>16 [m2]</v>
      </c>
      <c r="U2" s="67" t="str">
        <f>F!U2</f>
        <v>20 [m2]</v>
      </c>
      <c r="V2" s="67" t="str">
        <f>F!V2</f>
        <v>24 [m2]</v>
      </c>
    </row>
    <row r="3" spans="3:23" ht="15.75" thickBot="1" x14ac:dyDescent="0.3">
      <c r="C3" s="131" t="s">
        <v>3</v>
      </c>
      <c r="D3" s="132"/>
      <c r="E3" s="132"/>
      <c r="F3" s="132"/>
      <c r="G3" s="132"/>
      <c r="H3" s="135"/>
      <c r="I3" s="124" t="s">
        <v>647</v>
      </c>
      <c r="J3" s="125"/>
      <c r="L3" s="3" t="s">
        <v>13</v>
      </c>
      <c r="N3" s="60"/>
      <c r="O3" s="67">
        <f>F!O3</f>
        <v>2.8274333882308137E-5</v>
      </c>
      <c r="P3" s="67">
        <f>F!P3</f>
        <v>5.0265482457436686E-5</v>
      </c>
      <c r="Q3" s="67">
        <f>F!Q3</f>
        <v>7.8539816339744827E-5</v>
      </c>
      <c r="R3" s="67">
        <f>F!R3</f>
        <v>1.1309733552923255E-4</v>
      </c>
      <c r="S3" s="67">
        <f>F!S3</f>
        <v>1.5393804002589989E-4</v>
      </c>
      <c r="T3" s="67">
        <f>F!T3</f>
        <v>2.0106192982974675E-4</v>
      </c>
      <c r="U3" s="67">
        <f>F!U3</f>
        <v>3.1415926535897931E-4</v>
      </c>
      <c r="V3" s="67">
        <f>F!V3</f>
        <v>4.523893421169302E-4</v>
      </c>
    </row>
    <row r="4" spans="3:23" ht="26.25" thickBot="1" x14ac:dyDescent="0.3">
      <c r="C4" s="45" t="s">
        <v>2</v>
      </c>
      <c r="D4" s="46" t="s">
        <v>0</v>
      </c>
      <c r="E4" s="47" t="s">
        <v>4</v>
      </c>
      <c r="F4" s="47" t="s">
        <v>5</v>
      </c>
      <c r="G4" s="47" t="s">
        <v>1</v>
      </c>
      <c r="H4" s="48" t="s">
        <v>6</v>
      </c>
      <c r="I4" s="98" t="s">
        <v>649</v>
      </c>
      <c r="J4" s="99" t="s">
        <v>650</v>
      </c>
    </row>
    <row r="5" spans="3:23" x14ac:dyDescent="0.25">
      <c r="C5" s="140"/>
      <c r="D5" s="141"/>
      <c r="E5" s="141"/>
      <c r="F5" s="141"/>
      <c r="G5" s="141"/>
      <c r="H5" s="141"/>
      <c r="I5" s="68"/>
      <c r="J5" s="69"/>
    </row>
    <row r="6" spans="3:23" ht="30" x14ac:dyDescent="0.25">
      <c r="C6" s="14" t="s">
        <v>29</v>
      </c>
      <c r="D6" s="50" t="s">
        <v>165</v>
      </c>
      <c r="E6" s="11" t="s">
        <v>8</v>
      </c>
      <c r="F6" s="12" t="s">
        <v>269</v>
      </c>
      <c r="G6" s="15">
        <v>1.6</v>
      </c>
      <c r="H6" s="110">
        <v>1</v>
      </c>
      <c r="I6" s="70"/>
      <c r="J6" s="71"/>
      <c r="L6" s="83"/>
      <c r="M6" s="84"/>
      <c r="N6" s="83"/>
      <c r="O6" s="84"/>
    </row>
    <row r="7" spans="3:23" x14ac:dyDescent="0.25">
      <c r="C7" s="142"/>
      <c r="D7" s="143"/>
      <c r="E7" s="143"/>
      <c r="F7" s="143"/>
      <c r="G7" s="143"/>
      <c r="H7" s="144"/>
      <c r="I7" s="70"/>
      <c r="J7" s="71"/>
      <c r="L7" s="78"/>
      <c r="M7" s="75"/>
      <c r="N7" s="78"/>
      <c r="O7" s="75"/>
    </row>
    <row r="8" spans="3:23" x14ac:dyDescent="0.25">
      <c r="C8" s="9" t="s">
        <v>31</v>
      </c>
      <c r="D8" s="10" t="s">
        <v>7</v>
      </c>
      <c r="E8" s="37" t="s">
        <v>9</v>
      </c>
      <c r="F8" s="10" t="s">
        <v>30</v>
      </c>
      <c r="G8" s="21">
        <v>15.8</v>
      </c>
      <c r="H8" s="62">
        <v>1</v>
      </c>
      <c r="I8" s="70">
        <f>7860*P3*(2*(0.27+0.7)+2*0.1-6*0.025)*M8*2</f>
        <v>139.94760808113554</v>
      </c>
      <c r="J8" s="71">
        <f>1.15*(7860*(T3*G8*O8+U3*1.3*Q8+U3*2.9*S8+U3*6*U8))</f>
        <v>283.95720121558298</v>
      </c>
      <c r="L8" s="85">
        <f>(G8-3*1)/0.15</f>
        <v>85.333333333333343</v>
      </c>
      <c r="M8" s="86">
        <v>89</v>
      </c>
      <c r="N8" s="85"/>
      <c r="O8" s="86">
        <f>4+4</f>
        <v>8</v>
      </c>
      <c r="P8" s="6"/>
      <c r="Q8" s="6">
        <v>1</v>
      </c>
      <c r="R8" s="6"/>
      <c r="S8" s="6">
        <v>2</v>
      </c>
      <c r="U8">
        <v>2</v>
      </c>
    </row>
    <row r="9" spans="3:23" x14ac:dyDescent="0.25">
      <c r="C9" s="9" t="s">
        <v>32</v>
      </c>
      <c r="D9" s="10" t="s">
        <v>7</v>
      </c>
      <c r="E9" s="37" t="s">
        <v>9</v>
      </c>
      <c r="F9" s="10" t="s">
        <v>30</v>
      </c>
      <c r="G9" s="21">
        <v>9.4499999999999993</v>
      </c>
      <c r="H9" s="62">
        <v>1</v>
      </c>
      <c r="I9" s="70">
        <f>7860*P3*(2*(0.27+0.7)+2*0.1-6*0.025)*M9*2</f>
        <v>81.76714180021402</v>
      </c>
      <c r="J9" s="71">
        <f>1.15*(7860*(T3*G9*O9+U3*11.58*Q9+U3*3.2*S9))</f>
        <v>197.53988904917011</v>
      </c>
      <c r="L9" s="85">
        <f>(G9-2*1)/0.15</f>
        <v>49.666666666666664</v>
      </c>
      <c r="M9" s="86">
        <v>52</v>
      </c>
      <c r="N9" s="85"/>
      <c r="O9" s="86">
        <f t="shared" ref="O9:O15" si="0">4+4</f>
        <v>8</v>
      </c>
      <c r="P9" s="6"/>
      <c r="Q9" s="6">
        <v>1</v>
      </c>
      <c r="R9" s="6"/>
      <c r="S9" s="6">
        <v>3</v>
      </c>
    </row>
    <row r="10" spans="3:23" x14ac:dyDescent="0.25">
      <c r="C10" s="9" t="s">
        <v>34</v>
      </c>
      <c r="D10" s="10" t="s">
        <v>7</v>
      </c>
      <c r="E10" s="37" t="s">
        <v>9</v>
      </c>
      <c r="F10" s="10" t="s">
        <v>30</v>
      </c>
      <c r="G10" s="21">
        <v>11.25</v>
      </c>
      <c r="H10" s="62">
        <v>1</v>
      </c>
      <c r="I10" s="70">
        <f>7860*P3*(2*(0.27+0.7)+2*0.1-6*0.025)*M10*2</f>
        <v>100.63648221564803</v>
      </c>
      <c r="J10" s="71">
        <f>1.15*(7860*(T3*G10*O10+U3*11.58*Q10+U3*3.2*S10))</f>
        <v>223.71043153489777</v>
      </c>
      <c r="L10" s="85">
        <f>(G10-2*1)/0.15</f>
        <v>61.666666666666671</v>
      </c>
      <c r="M10" s="86">
        <v>64</v>
      </c>
      <c r="N10" s="85"/>
      <c r="O10" s="86">
        <f t="shared" si="0"/>
        <v>8</v>
      </c>
      <c r="P10" s="6"/>
      <c r="Q10" s="6">
        <v>1</v>
      </c>
      <c r="R10" s="6"/>
      <c r="S10" s="6">
        <v>3</v>
      </c>
    </row>
    <row r="11" spans="3:23" x14ac:dyDescent="0.25">
      <c r="C11" s="9" t="s">
        <v>35</v>
      </c>
      <c r="D11" s="10" t="s">
        <v>7</v>
      </c>
      <c r="E11" s="37" t="s">
        <v>9</v>
      </c>
      <c r="F11" s="10" t="s">
        <v>30</v>
      </c>
      <c r="G11" s="21">
        <v>22.1</v>
      </c>
      <c r="H11" s="62">
        <v>1</v>
      </c>
      <c r="I11" s="70">
        <f>7860*P3*(2*(0.27+0.7)+2*0.1-6*0.025)*M11*2</f>
        <v>196.55562932743757</v>
      </c>
      <c r="J11" s="71">
        <f>1.15*(7860*(T3*G11*O11+U3*1.2*Q11*2+U3*6*S11*2+U3*2.8*U11*2))</f>
        <v>394.01205631289832</v>
      </c>
      <c r="L11" s="85">
        <f>(G11-4*1)/0.15</f>
        <v>120.66666666666669</v>
      </c>
      <c r="M11" s="86">
        <v>125</v>
      </c>
      <c r="N11" s="85"/>
      <c r="O11" s="86">
        <f t="shared" si="0"/>
        <v>8</v>
      </c>
      <c r="P11" s="6"/>
      <c r="Q11" s="6">
        <v>1</v>
      </c>
      <c r="R11" s="6"/>
      <c r="S11" s="6">
        <v>1</v>
      </c>
      <c r="U11">
        <v>2</v>
      </c>
    </row>
    <row r="12" spans="3:23" x14ac:dyDescent="0.25">
      <c r="C12" s="9" t="s">
        <v>92</v>
      </c>
      <c r="D12" s="10" t="s">
        <v>7</v>
      </c>
      <c r="E12" s="37" t="s">
        <v>9</v>
      </c>
      <c r="F12" s="10" t="s">
        <v>30</v>
      </c>
      <c r="G12" s="21">
        <v>11.85</v>
      </c>
      <c r="H12" s="62">
        <v>1</v>
      </c>
      <c r="I12" s="70">
        <f>7860*P3*(2*(0.27+0.7)+2*0.1-6*0.025)*M12*2</f>
        <v>119.50582263108204</v>
      </c>
      <c r="J12" s="71">
        <f>1.15*(7860*(T3*G12*O12+U3*11.58*Q12+U3*3.2*S12))</f>
        <v>232.43394569680689</v>
      </c>
      <c r="L12" s="85">
        <f>(G12-2*0.4)/0.15</f>
        <v>73.666666666666657</v>
      </c>
      <c r="M12" s="86">
        <v>76</v>
      </c>
      <c r="N12" s="85"/>
      <c r="O12" s="86">
        <f t="shared" si="0"/>
        <v>8</v>
      </c>
      <c r="P12" s="6"/>
      <c r="Q12" s="6">
        <v>1</v>
      </c>
      <c r="R12" s="6"/>
      <c r="S12" s="6">
        <v>3</v>
      </c>
    </row>
    <row r="13" spans="3:23" x14ac:dyDescent="0.25">
      <c r="C13" s="9" t="s">
        <v>93</v>
      </c>
      <c r="D13" s="10" t="s">
        <v>7</v>
      </c>
      <c r="E13" s="37" t="s">
        <v>9</v>
      </c>
      <c r="F13" s="10" t="s">
        <v>30</v>
      </c>
      <c r="G13" s="21">
        <v>11.9</v>
      </c>
      <c r="H13" s="62">
        <v>1</v>
      </c>
      <c r="I13" s="70">
        <f>7860*P3*(2*(0.27+0.7)+2*0.1-6*0.025)*M13*2</f>
        <v>119.50582263108204</v>
      </c>
      <c r="J13" s="71">
        <f>1.15*(7860*(T3*G13*O13+U3*11.58*Q13+U3*3.2*S13))</f>
        <v>233.16090521029938</v>
      </c>
      <c r="L13" s="85">
        <f>(G13-2*0.4)/0.15</f>
        <v>74</v>
      </c>
      <c r="M13" s="86">
        <v>76</v>
      </c>
      <c r="N13" s="85"/>
      <c r="O13" s="86">
        <f t="shared" si="0"/>
        <v>8</v>
      </c>
      <c r="P13" s="6"/>
      <c r="Q13" s="6">
        <v>1</v>
      </c>
      <c r="R13" s="6"/>
      <c r="S13" s="6">
        <v>3</v>
      </c>
    </row>
    <row r="14" spans="3:23" x14ac:dyDescent="0.25">
      <c r="C14" s="9" t="s">
        <v>94</v>
      </c>
      <c r="D14" s="10" t="s">
        <v>7</v>
      </c>
      <c r="E14" s="37" t="s">
        <v>9</v>
      </c>
      <c r="F14" s="10" t="s">
        <v>30</v>
      </c>
      <c r="G14" s="21">
        <v>12.05</v>
      </c>
      <c r="H14" s="62">
        <v>1</v>
      </c>
      <c r="I14" s="70">
        <f>7860*P3*(2*(0.27+0.7)+2*0.1-6*0.025)*M14*2</f>
        <v>121.07826766570153</v>
      </c>
      <c r="J14" s="71">
        <f>1.15*(7860*(T3*G14*O14+U3*11.58*Q14+U3*3.2*S14))</f>
        <v>235.34178375077664</v>
      </c>
      <c r="L14" s="85">
        <f>(G14-2*0.4)/0.15</f>
        <v>75</v>
      </c>
      <c r="M14" s="86">
        <v>77</v>
      </c>
      <c r="N14" s="85"/>
      <c r="O14" s="86">
        <f t="shared" si="0"/>
        <v>8</v>
      </c>
      <c r="P14" s="6"/>
      <c r="Q14" s="6">
        <v>1</v>
      </c>
      <c r="R14" s="6"/>
      <c r="S14" s="6">
        <v>3</v>
      </c>
    </row>
    <row r="15" spans="3:23" x14ac:dyDescent="0.25">
      <c r="C15" s="9" t="s">
        <v>95</v>
      </c>
      <c r="D15" s="10" t="s">
        <v>7</v>
      </c>
      <c r="E15" s="37" t="s">
        <v>9</v>
      </c>
      <c r="F15" s="10" t="s">
        <v>30</v>
      </c>
      <c r="G15" s="21">
        <v>18.149999999999999</v>
      </c>
      <c r="H15" s="62">
        <v>1</v>
      </c>
      <c r="I15" s="70">
        <f>7860*P3*(2*(0.27+0.7)+2*0.1-6*0.025)*M15*2</f>
        <v>182.40362401586205</v>
      </c>
      <c r="J15" s="71">
        <f>1.15*(7860*(T3*G15*O15+U3*1.3*Q15*2+U3*(6.1+5.85)*S15+U3*3.5*U15+U3*3.3*W15))</f>
        <v>387.69659553943274</v>
      </c>
      <c r="L15" s="85">
        <f>(G15-3*0.4)/0.15</f>
        <v>113</v>
      </c>
      <c r="M15" s="86">
        <v>116</v>
      </c>
      <c r="N15" s="85"/>
      <c r="O15" s="86">
        <f t="shared" si="0"/>
        <v>8</v>
      </c>
      <c r="P15" s="6"/>
      <c r="Q15" s="6">
        <v>1</v>
      </c>
      <c r="R15" s="6"/>
      <c r="S15" s="6">
        <v>2</v>
      </c>
      <c r="U15">
        <v>3</v>
      </c>
      <c r="W15">
        <v>2</v>
      </c>
    </row>
    <row r="16" spans="3:23" x14ac:dyDescent="0.25">
      <c r="C16" s="95" t="s">
        <v>96</v>
      </c>
      <c r="D16" s="10" t="s">
        <v>7</v>
      </c>
      <c r="E16" s="37" t="s">
        <v>9</v>
      </c>
      <c r="F16" s="10" t="s">
        <v>89</v>
      </c>
      <c r="G16" s="21">
        <v>42.05</v>
      </c>
      <c r="H16" s="62">
        <v>1</v>
      </c>
      <c r="I16" s="107">
        <v>0</v>
      </c>
      <c r="J16" s="103">
        <f>24.7*G16</f>
        <v>1038.635</v>
      </c>
      <c r="K16" s="80"/>
      <c r="L16" s="78">
        <f>(G16-8*0.55)/0.15</f>
        <v>251</v>
      </c>
      <c r="M16" s="75">
        <v>259</v>
      </c>
      <c r="N16" s="78"/>
      <c r="O16" s="75">
        <f>4+4</f>
        <v>8</v>
      </c>
      <c r="P16" s="80"/>
      <c r="Q16" s="80"/>
      <c r="R16" s="80"/>
      <c r="S16" s="80"/>
      <c r="T16" s="80"/>
      <c r="U16" s="80"/>
    </row>
    <row r="17" spans="3:21" x14ac:dyDescent="0.25">
      <c r="C17" s="95" t="s">
        <v>97</v>
      </c>
      <c r="D17" s="10" t="s">
        <v>7</v>
      </c>
      <c r="E17" s="37" t="s">
        <v>9</v>
      </c>
      <c r="F17" s="10" t="s">
        <v>89</v>
      </c>
      <c r="G17" s="20">
        <v>7.27</v>
      </c>
      <c r="H17" s="62">
        <v>1</v>
      </c>
      <c r="I17" s="107">
        <v>0</v>
      </c>
      <c r="J17" s="103">
        <f t="shared" ref="J17:J49" si="1">24.7*G17</f>
        <v>179.56899999999999</v>
      </c>
      <c r="K17" s="80"/>
      <c r="L17" s="78">
        <f>(G17-1*1)/0.15</f>
        <v>41.8</v>
      </c>
      <c r="M17" s="75">
        <v>43</v>
      </c>
      <c r="N17" s="78"/>
      <c r="O17" s="75">
        <f t="shared" ref="O17:O50" si="2">4+4</f>
        <v>8</v>
      </c>
      <c r="P17" s="80"/>
      <c r="Q17" s="80"/>
      <c r="R17" s="80"/>
      <c r="S17" s="80"/>
      <c r="T17" s="80"/>
      <c r="U17" s="80"/>
    </row>
    <row r="18" spans="3:21" x14ac:dyDescent="0.25">
      <c r="C18" s="95" t="s">
        <v>36</v>
      </c>
      <c r="D18" s="10" t="s">
        <v>7</v>
      </c>
      <c r="E18" s="37" t="s">
        <v>9</v>
      </c>
      <c r="F18" s="10" t="s">
        <v>89</v>
      </c>
      <c r="G18" s="21">
        <v>20.78</v>
      </c>
      <c r="H18" s="62">
        <v>1</v>
      </c>
      <c r="I18" s="107">
        <v>0</v>
      </c>
      <c r="J18" s="103">
        <f t="shared" si="1"/>
        <v>513.26599999999996</v>
      </c>
      <c r="K18" s="80"/>
      <c r="L18" s="78">
        <f>(G18-4*0.55)/0.15</f>
        <v>123.86666666666669</v>
      </c>
      <c r="M18" s="75">
        <v>128</v>
      </c>
      <c r="N18" s="78"/>
      <c r="O18" s="75">
        <f t="shared" si="2"/>
        <v>8</v>
      </c>
      <c r="P18" s="80"/>
      <c r="Q18" s="80"/>
      <c r="R18" s="80"/>
      <c r="S18" s="80"/>
      <c r="T18" s="80"/>
      <c r="U18" s="80"/>
    </row>
    <row r="19" spans="3:21" x14ac:dyDescent="0.25">
      <c r="C19" s="95" t="s">
        <v>98</v>
      </c>
      <c r="D19" s="10" t="s">
        <v>7</v>
      </c>
      <c r="E19" s="37" t="s">
        <v>9</v>
      </c>
      <c r="F19" s="10" t="s">
        <v>89</v>
      </c>
      <c r="G19" s="21">
        <v>7.27</v>
      </c>
      <c r="H19" s="62">
        <v>1</v>
      </c>
      <c r="I19" s="107">
        <v>0</v>
      </c>
      <c r="J19" s="103">
        <f t="shared" si="1"/>
        <v>179.56899999999999</v>
      </c>
      <c r="K19" s="80"/>
      <c r="L19" s="78">
        <f>(G19-1*1)/0.15</f>
        <v>41.8</v>
      </c>
      <c r="M19" s="75">
        <v>43</v>
      </c>
      <c r="N19" s="78"/>
      <c r="O19" s="75">
        <f t="shared" si="2"/>
        <v>8</v>
      </c>
      <c r="P19" s="80"/>
      <c r="Q19" s="80"/>
      <c r="R19" s="80"/>
      <c r="S19" s="80"/>
      <c r="T19" s="80"/>
      <c r="U19" s="80"/>
    </row>
    <row r="20" spans="3:21" x14ac:dyDescent="0.25">
      <c r="C20" s="95" t="s">
        <v>37</v>
      </c>
      <c r="D20" s="10" t="s">
        <v>7</v>
      </c>
      <c r="E20" s="37" t="s">
        <v>9</v>
      </c>
      <c r="F20" s="10" t="s">
        <v>89</v>
      </c>
      <c r="G20" s="21">
        <v>20.78</v>
      </c>
      <c r="H20" s="62">
        <v>1</v>
      </c>
      <c r="I20" s="107">
        <v>0</v>
      </c>
      <c r="J20" s="103">
        <f t="shared" si="1"/>
        <v>513.26599999999996</v>
      </c>
      <c r="K20" s="80"/>
      <c r="L20" s="78">
        <f>(G20-4*0.55)/0.15</f>
        <v>123.86666666666669</v>
      </c>
      <c r="M20" s="75">
        <v>128</v>
      </c>
      <c r="N20" s="78"/>
      <c r="O20" s="75">
        <f t="shared" si="2"/>
        <v>8</v>
      </c>
      <c r="P20" s="80"/>
      <c r="Q20" s="80"/>
      <c r="R20" s="80"/>
      <c r="S20" s="80"/>
      <c r="T20" s="80"/>
      <c r="U20" s="80"/>
    </row>
    <row r="21" spans="3:21" x14ac:dyDescent="0.25">
      <c r="C21" s="95" t="s">
        <v>99</v>
      </c>
      <c r="D21" s="10" t="s">
        <v>7</v>
      </c>
      <c r="E21" s="37" t="s">
        <v>9</v>
      </c>
      <c r="F21" s="10" t="s">
        <v>89</v>
      </c>
      <c r="G21" s="21">
        <v>7.27</v>
      </c>
      <c r="H21" s="62">
        <v>1</v>
      </c>
      <c r="I21" s="107">
        <v>0</v>
      </c>
      <c r="J21" s="103">
        <f t="shared" si="1"/>
        <v>179.56899999999999</v>
      </c>
      <c r="K21" s="80"/>
      <c r="L21" s="78">
        <f>(G21-1*1)/0.15</f>
        <v>41.8</v>
      </c>
      <c r="M21" s="75">
        <v>43</v>
      </c>
      <c r="N21" s="78"/>
      <c r="O21" s="75">
        <f t="shared" si="2"/>
        <v>8</v>
      </c>
      <c r="P21" s="80"/>
      <c r="Q21" s="80"/>
      <c r="R21" s="80"/>
      <c r="S21" s="80"/>
      <c r="T21" s="80"/>
      <c r="U21" s="80"/>
    </row>
    <row r="22" spans="3:21" x14ac:dyDescent="0.25">
      <c r="C22" s="95" t="s">
        <v>33</v>
      </c>
      <c r="D22" s="10" t="s">
        <v>7</v>
      </c>
      <c r="E22" s="37" t="s">
        <v>9</v>
      </c>
      <c r="F22" s="10" t="s">
        <v>89</v>
      </c>
      <c r="G22" s="21">
        <v>5.28</v>
      </c>
      <c r="H22" s="62">
        <v>1</v>
      </c>
      <c r="I22" s="107">
        <v>0</v>
      </c>
      <c r="J22" s="103">
        <f t="shared" si="1"/>
        <v>130.416</v>
      </c>
      <c r="K22" s="80"/>
      <c r="L22" s="78">
        <f>(G22-1*1)/0.15</f>
        <v>28.533333333333335</v>
      </c>
      <c r="M22" s="75">
        <v>30</v>
      </c>
      <c r="N22" s="78"/>
      <c r="O22" s="75">
        <f t="shared" si="2"/>
        <v>8</v>
      </c>
      <c r="P22" s="80"/>
      <c r="Q22" s="80"/>
      <c r="R22" s="80"/>
      <c r="S22" s="80"/>
      <c r="T22" s="80"/>
      <c r="U22" s="80"/>
    </row>
    <row r="23" spans="3:21" x14ac:dyDescent="0.25">
      <c r="C23" s="95" t="s">
        <v>100</v>
      </c>
      <c r="D23" s="10" t="s">
        <v>7</v>
      </c>
      <c r="E23" s="37" t="s">
        <v>9</v>
      </c>
      <c r="F23" s="10" t="s">
        <v>89</v>
      </c>
      <c r="G23" s="21">
        <v>7.27</v>
      </c>
      <c r="H23" s="62">
        <v>1</v>
      </c>
      <c r="I23" s="107">
        <v>0</v>
      </c>
      <c r="J23" s="103">
        <f t="shared" si="1"/>
        <v>179.56899999999999</v>
      </c>
      <c r="K23" s="80"/>
      <c r="L23" s="78">
        <f>(G23-1*1)/0.15</f>
        <v>41.8</v>
      </c>
      <c r="M23" s="75">
        <v>43</v>
      </c>
      <c r="N23" s="78"/>
      <c r="O23" s="75">
        <f t="shared" si="2"/>
        <v>8</v>
      </c>
      <c r="P23" s="80"/>
      <c r="Q23" s="80"/>
      <c r="R23" s="80"/>
      <c r="S23" s="80"/>
      <c r="T23" s="80"/>
      <c r="U23" s="80"/>
    </row>
    <row r="24" spans="3:21" x14ac:dyDescent="0.25">
      <c r="C24" s="95" t="s">
        <v>38</v>
      </c>
      <c r="D24" s="10" t="s">
        <v>7</v>
      </c>
      <c r="E24" s="37" t="s">
        <v>9</v>
      </c>
      <c r="F24" s="10" t="s">
        <v>89</v>
      </c>
      <c r="G24" s="21">
        <v>5.28</v>
      </c>
      <c r="H24" s="62">
        <v>1</v>
      </c>
      <c r="I24" s="107">
        <v>0</v>
      </c>
      <c r="J24" s="103">
        <f t="shared" si="1"/>
        <v>130.416</v>
      </c>
      <c r="K24" s="80"/>
      <c r="L24" s="78">
        <f>(G24-1*1)/0.15</f>
        <v>28.533333333333335</v>
      </c>
      <c r="M24" s="75">
        <v>30</v>
      </c>
      <c r="N24" s="78"/>
      <c r="O24" s="75">
        <f t="shared" si="2"/>
        <v>8</v>
      </c>
      <c r="P24" s="80"/>
      <c r="Q24" s="80"/>
      <c r="R24" s="80"/>
      <c r="S24" s="80"/>
      <c r="T24" s="80"/>
      <c r="U24" s="80"/>
    </row>
    <row r="25" spans="3:21" x14ac:dyDescent="0.25">
      <c r="C25" s="95" t="s">
        <v>101</v>
      </c>
      <c r="D25" s="10" t="s">
        <v>7</v>
      </c>
      <c r="E25" s="37" t="s">
        <v>9</v>
      </c>
      <c r="F25" s="10" t="s">
        <v>89</v>
      </c>
      <c r="G25" s="21">
        <v>16.27</v>
      </c>
      <c r="H25" s="62">
        <v>1</v>
      </c>
      <c r="I25" s="107">
        <v>0</v>
      </c>
      <c r="J25" s="103">
        <f t="shared" si="1"/>
        <v>401.86899999999997</v>
      </c>
      <c r="K25" s="80"/>
      <c r="L25" s="78">
        <f>(G25-3*0.55)/0.15</f>
        <v>97.466666666666669</v>
      </c>
      <c r="M25" s="75">
        <v>101</v>
      </c>
      <c r="N25" s="78"/>
      <c r="O25" s="75">
        <f t="shared" si="2"/>
        <v>8</v>
      </c>
      <c r="P25" s="80"/>
      <c r="Q25" s="80"/>
      <c r="R25" s="80"/>
      <c r="S25" s="80"/>
      <c r="T25" s="80"/>
      <c r="U25" s="80"/>
    </row>
    <row r="26" spans="3:21" x14ac:dyDescent="0.25">
      <c r="C26" s="95" t="s">
        <v>39</v>
      </c>
      <c r="D26" s="10" t="s">
        <v>7</v>
      </c>
      <c r="E26" s="37" t="s">
        <v>9</v>
      </c>
      <c r="F26" s="10" t="s">
        <v>89</v>
      </c>
      <c r="G26" s="21">
        <v>5.28</v>
      </c>
      <c r="H26" s="62">
        <v>1</v>
      </c>
      <c r="I26" s="107">
        <v>0</v>
      </c>
      <c r="J26" s="103">
        <f t="shared" si="1"/>
        <v>130.416</v>
      </c>
      <c r="K26" s="80"/>
      <c r="L26" s="78">
        <f>(G26-1*1)/0.15</f>
        <v>28.533333333333335</v>
      </c>
      <c r="M26" s="75">
        <v>30</v>
      </c>
      <c r="N26" s="78"/>
      <c r="O26" s="75">
        <f t="shared" si="2"/>
        <v>8</v>
      </c>
      <c r="P26" s="80"/>
      <c r="Q26" s="80"/>
      <c r="R26" s="80"/>
      <c r="S26" s="80"/>
      <c r="T26" s="80"/>
      <c r="U26" s="80"/>
    </row>
    <row r="27" spans="3:21" x14ac:dyDescent="0.25">
      <c r="C27" s="95" t="s">
        <v>102</v>
      </c>
      <c r="D27" s="10" t="s">
        <v>7</v>
      </c>
      <c r="E27" s="37" t="s">
        <v>9</v>
      </c>
      <c r="F27" s="10" t="s">
        <v>89</v>
      </c>
      <c r="G27" s="21">
        <v>5.4</v>
      </c>
      <c r="H27" s="62">
        <v>1</v>
      </c>
      <c r="I27" s="107">
        <v>0</v>
      </c>
      <c r="J27" s="103">
        <f t="shared" si="1"/>
        <v>133.38</v>
      </c>
      <c r="K27" s="80"/>
      <c r="L27" s="78">
        <f>(G27-1*1)/0.15</f>
        <v>29.333333333333336</v>
      </c>
      <c r="M27" s="75">
        <v>31</v>
      </c>
      <c r="N27" s="78"/>
      <c r="O27" s="75">
        <f t="shared" si="2"/>
        <v>8</v>
      </c>
      <c r="P27" s="80"/>
      <c r="Q27" s="80"/>
      <c r="R27" s="80"/>
      <c r="S27" s="80"/>
      <c r="T27" s="80"/>
      <c r="U27" s="80"/>
    </row>
    <row r="28" spans="3:21" x14ac:dyDescent="0.25">
      <c r="C28" s="95" t="s">
        <v>41</v>
      </c>
      <c r="D28" s="10" t="s">
        <v>7</v>
      </c>
      <c r="E28" s="37" t="s">
        <v>9</v>
      </c>
      <c r="F28" s="10" t="s">
        <v>89</v>
      </c>
      <c r="G28" s="21">
        <v>5.28</v>
      </c>
      <c r="H28" s="62">
        <v>1</v>
      </c>
      <c r="I28" s="107">
        <v>0</v>
      </c>
      <c r="J28" s="103">
        <f t="shared" si="1"/>
        <v>130.416</v>
      </c>
      <c r="K28" s="80"/>
      <c r="L28" s="78">
        <f>(G28-1*1)/0.15</f>
        <v>28.533333333333335</v>
      </c>
      <c r="M28" s="75">
        <v>30</v>
      </c>
      <c r="N28" s="78"/>
      <c r="O28" s="75">
        <f t="shared" si="2"/>
        <v>8</v>
      </c>
      <c r="P28" s="80"/>
      <c r="Q28" s="80"/>
      <c r="R28" s="80"/>
      <c r="S28" s="80"/>
      <c r="T28" s="80"/>
      <c r="U28" s="80"/>
    </row>
    <row r="29" spans="3:21" x14ac:dyDescent="0.25">
      <c r="C29" s="136" t="s">
        <v>103</v>
      </c>
      <c r="D29" s="137" t="s">
        <v>7</v>
      </c>
      <c r="E29" s="138" t="s">
        <v>9</v>
      </c>
      <c r="F29" s="10" t="s">
        <v>90</v>
      </c>
      <c r="G29" s="21">
        <v>15.75</v>
      </c>
      <c r="H29" s="139">
        <v>1</v>
      </c>
      <c r="I29" s="107">
        <v>0</v>
      </c>
      <c r="J29" s="103">
        <f t="shared" si="1"/>
        <v>389.02499999999998</v>
      </c>
      <c r="K29" s="80"/>
      <c r="L29" s="78">
        <f>(G29-4*0.55)/0.15</f>
        <v>90.333333333333343</v>
      </c>
      <c r="M29" s="75">
        <v>95</v>
      </c>
      <c r="N29" s="78"/>
      <c r="O29" s="75">
        <f t="shared" si="2"/>
        <v>8</v>
      </c>
      <c r="P29" s="80"/>
      <c r="Q29" s="80"/>
      <c r="R29" s="80"/>
      <c r="S29" s="80"/>
      <c r="T29" s="80"/>
      <c r="U29" s="80"/>
    </row>
    <row r="30" spans="3:21" x14ac:dyDescent="0.25">
      <c r="C30" s="136"/>
      <c r="D30" s="137"/>
      <c r="E30" s="138"/>
      <c r="F30" s="10" t="s">
        <v>53</v>
      </c>
      <c r="G30" s="21">
        <v>26.45</v>
      </c>
      <c r="H30" s="139"/>
      <c r="I30" s="107">
        <v>0</v>
      </c>
      <c r="J30" s="103">
        <f t="shared" si="1"/>
        <v>653.31499999999994</v>
      </c>
      <c r="K30" s="80"/>
      <c r="L30" s="78">
        <f>(G30-5*0.55)/0.15</f>
        <v>158</v>
      </c>
      <c r="M30" s="75">
        <v>163</v>
      </c>
      <c r="N30" s="78"/>
      <c r="O30" s="75">
        <f t="shared" si="2"/>
        <v>8</v>
      </c>
      <c r="P30" s="80"/>
      <c r="Q30" s="80"/>
      <c r="R30" s="80"/>
      <c r="S30" s="80"/>
      <c r="T30" s="80"/>
      <c r="U30" s="80"/>
    </row>
    <row r="31" spans="3:21" x14ac:dyDescent="0.25">
      <c r="C31" s="95" t="s">
        <v>104</v>
      </c>
      <c r="D31" s="10" t="s">
        <v>7</v>
      </c>
      <c r="E31" s="37" t="s">
        <v>9</v>
      </c>
      <c r="F31" s="10" t="s">
        <v>88</v>
      </c>
      <c r="G31" s="21">
        <v>42.2</v>
      </c>
      <c r="H31" s="62">
        <v>1</v>
      </c>
      <c r="I31" s="107">
        <v>0</v>
      </c>
      <c r="J31" s="103">
        <f>26.3*G31</f>
        <v>1109.8600000000001</v>
      </c>
      <c r="K31" s="80"/>
      <c r="L31" s="78">
        <f>(G31-9*0.55)/0.15</f>
        <v>248.33333333333334</v>
      </c>
      <c r="M31" s="75">
        <v>258</v>
      </c>
      <c r="N31" s="78"/>
      <c r="O31" s="75">
        <f t="shared" si="2"/>
        <v>8</v>
      </c>
      <c r="P31" s="80"/>
      <c r="Q31" s="80"/>
      <c r="R31" s="80"/>
      <c r="S31" s="80"/>
      <c r="T31" s="80"/>
      <c r="U31" s="80"/>
    </row>
    <row r="32" spans="3:21" x14ac:dyDescent="0.25">
      <c r="C32" s="95" t="s">
        <v>105</v>
      </c>
      <c r="D32" s="10" t="s">
        <v>7</v>
      </c>
      <c r="E32" s="37" t="s">
        <v>9</v>
      </c>
      <c r="F32" s="10" t="s">
        <v>89</v>
      </c>
      <c r="G32" s="21">
        <v>10.32</v>
      </c>
      <c r="H32" s="62">
        <v>1</v>
      </c>
      <c r="I32" s="107">
        <v>0</v>
      </c>
      <c r="J32" s="103">
        <f t="shared" si="1"/>
        <v>254.904</v>
      </c>
      <c r="K32" s="80"/>
      <c r="L32" s="78">
        <f>(G32-2*0.55)/0.15</f>
        <v>61.466666666666676</v>
      </c>
      <c r="M32" s="75">
        <v>64</v>
      </c>
      <c r="N32" s="78"/>
      <c r="O32" s="75">
        <f t="shared" si="2"/>
        <v>8</v>
      </c>
      <c r="P32" s="80"/>
      <c r="Q32" s="80"/>
      <c r="R32" s="80"/>
      <c r="S32" s="80"/>
      <c r="T32" s="80"/>
      <c r="U32" s="80"/>
    </row>
    <row r="33" spans="3:21" x14ac:dyDescent="0.25">
      <c r="C33" s="95" t="s">
        <v>42</v>
      </c>
      <c r="D33" s="10" t="s">
        <v>7</v>
      </c>
      <c r="E33" s="37" t="s">
        <v>9</v>
      </c>
      <c r="F33" s="10" t="s">
        <v>89</v>
      </c>
      <c r="G33" s="21">
        <v>12.05</v>
      </c>
      <c r="H33" s="62">
        <v>1</v>
      </c>
      <c r="I33" s="107">
        <v>0</v>
      </c>
      <c r="J33" s="103">
        <f t="shared" si="1"/>
        <v>297.63499999999999</v>
      </c>
      <c r="K33" s="80"/>
      <c r="L33" s="78">
        <f>(G33-2*0.55)/0.15</f>
        <v>73.000000000000014</v>
      </c>
      <c r="M33" s="75">
        <v>75</v>
      </c>
      <c r="N33" s="78"/>
      <c r="O33" s="75">
        <f t="shared" si="2"/>
        <v>8</v>
      </c>
      <c r="P33" s="80"/>
      <c r="Q33" s="80"/>
      <c r="R33" s="80"/>
      <c r="S33" s="80"/>
      <c r="T33" s="80"/>
      <c r="U33" s="80"/>
    </row>
    <row r="34" spans="3:21" x14ac:dyDescent="0.25">
      <c r="C34" s="95" t="s">
        <v>40</v>
      </c>
      <c r="D34" s="10" t="s">
        <v>7</v>
      </c>
      <c r="E34" s="37" t="s">
        <v>9</v>
      </c>
      <c r="F34" s="10" t="s">
        <v>91</v>
      </c>
      <c r="G34" s="21">
        <v>6.13</v>
      </c>
      <c r="H34" s="62">
        <v>1</v>
      </c>
      <c r="I34" s="107">
        <v>0</v>
      </c>
      <c r="J34" s="103">
        <f>26.3*G34</f>
        <v>161.21899999999999</v>
      </c>
      <c r="K34" s="80"/>
      <c r="L34" s="78">
        <f>(G34-2*0.55)/0.15</f>
        <v>33.533333333333331</v>
      </c>
      <c r="M34" s="75">
        <v>36</v>
      </c>
      <c r="N34" s="78"/>
      <c r="O34" s="75">
        <f t="shared" si="2"/>
        <v>8</v>
      </c>
      <c r="P34" s="80"/>
      <c r="Q34" s="80"/>
      <c r="R34" s="80"/>
      <c r="S34" s="80"/>
      <c r="T34" s="80"/>
      <c r="U34" s="80"/>
    </row>
    <row r="35" spans="3:21" x14ac:dyDescent="0.25">
      <c r="C35" s="95" t="s">
        <v>67</v>
      </c>
      <c r="D35" s="10" t="s">
        <v>7</v>
      </c>
      <c r="E35" s="37" t="s">
        <v>9</v>
      </c>
      <c r="F35" s="10" t="s">
        <v>88</v>
      </c>
      <c r="G35" s="21">
        <v>11</v>
      </c>
      <c r="H35" s="62">
        <v>1</v>
      </c>
      <c r="I35" s="107">
        <v>0</v>
      </c>
      <c r="J35" s="103">
        <f>26.3*G35</f>
        <v>289.3</v>
      </c>
      <c r="K35" s="80"/>
      <c r="L35" s="78">
        <f>(G35-3*0.55)/0.15</f>
        <v>62.333333333333336</v>
      </c>
      <c r="M35" s="75">
        <v>66</v>
      </c>
      <c r="N35" s="78"/>
      <c r="O35" s="75">
        <f t="shared" si="2"/>
        <v>8</v>
      </c>
      <c r="P35" s="80"/>
      <c r="Q35" s="80"/>
      <c r="R35" s="80"/>
      <c r="S35" s="80"/>
      <c r="T35" s="80"/>
      <c r="U35" s="80"/>
    </row>
    <row r="36" spans="3:21" x14ac:dyDescent="0.25">
      <c r="C36" s="95" t="s">
        <v>106</v>
      </c>
      <c r="D36" s="10" t="s">
        <v>7</v>
      </c>
      <c r="E36" s="37" t="s">
        <v>9</v>
      </c>
      <c r="F36" s="10" t="s">
        <v>89</v>
      </c>
      <c r="G36" s="21">
        <v>10.32</v>
      </c>
      <c r="H36" s="62">
        <v>1</v>
      </c>
      <c r="I36" s="107">
        <v>0</v>
      </c>
      <c r="J36" s="103">
        <f t="shared" si="1"/>
        <v>254.904</v>
      </c>
      <c r="K36" s="80"/>
      <c r="L36" s="78">
        <f>(G36-2*0.55)/0.15</f>
        <v>61.466666666666676</v>
      </c>
      <c r="M36" s="75">
        <v>64</v>
      </c>
      <c r="N36" s="78"/>
      <c r="O36" s="75">
        <f t="shared" si="2"/>
        <v>8</v>
      </c>
      <c r="P36" s="80"/>
      <c r="Q36" s="80"/>
      <c r="R36" s="80"/>
      <c r="S36" s="80"/>
      <c r="T36" s="80"/>
      <c r="U36" s="80"/>
    </row>
    <row r="37" spans="3:21" x14ac:dyDescent="0.25">
      <c r="C37" s="95" t="s">
        <v>107</v>
      </c>
      <c r="D37" s="10" t="s">
        <v>7</v>
      </c>
      <c r="E37" s="37" t="s">
        <v>9</v>
      </c>
      <c r="F37" s="10" t="s">
        <v>89</v>
      </c>
      <c r="G37" s="21">
        <v>6.2</v>
      </c>
      <c r="H37" s="62">
        <v>1</v>
      </c>
      <c r="I37" s="107">
        <v>0</v>
      </c>
      <c r="J37" s="103">
        <f t="shared" si="1"/>
        <v>153.13999999999999</v>
      </c>
      <c r="K37" s="80"/>
      <c r="L37" s="78">
        <f>(G37-1*0.55)/0.15</f>
        <v>37.666666666666671</v>
      </c>
      <c r="M37" s="75">
        <v>39</v>
      </c>
      <c r="N37" s="78"/>
      <c r="O37" s="75">
        <f t="shared" si="2"/>
        <v>8</v>
      </c>
      <c r="P37" s="80"/>
      <c r="Q37" s="80"/>
      <c r="R37" s="80"/>
      <c r="S37" s="80"/>
      <c r="T37" s="80"/>
      <c r="U37" s="80"/>
    </row>
    <row r="38" spans="3:21" x14ac:dyDescent="0.25">
      <c r="C38" s="95" t="s">
        <v>108</v>
      </c>
      <c r="D38" s="10" t="s">
        <v>7</v>
      </c>
      <c r="E38" s="37" t="s">
        <v>9</v>
      </c>
      <c r="F38" s="10" t="s">
        <v>88</v>
      </c>
      <c r="G38" s="21">
        <v>11</v>
      </c>
      <c r="H38" s="62">
        <v>1</v>
      </c>
      <c r="I38" s="107">
        <v>0</v>
      </c>
      <c r="J38" s="103">
        <f>26.3*G38</f>
        <v>289.3</v>
      </c>
      <c r="K38" s="80"/>
      <c r="L38" s="78">
        <f>(G38-2*0.55)/0.15</f>
        <v>66</v>
      </c>
      <c r="M38" s="75">
        <v>68</v>
      </c>
      <c r="N38" s="78"/>
      <c r="O38" s="75">
        <f t="shared" si="2"/>
        <v>8</v>
      </c>
      <c r="P38" s="80"/>
      <c r="Q38" s="80"/>
      <c r="R38" s="80"/>
      <c r="S38" s="80"/>
      <c r="T38" s="80"/>
      <c r="U38" s="80"/>
    </row>
    <row r="39" spans="3:21" x14ac:dyDescent="0.25">
      <c r="C39" s="95" t="s">
        <v>109</v>
      </c>
      <c r="D39" s="10" t="s">
        <v>7</v>
      </c>
      <c r="E39" s="37" t="s">
        <v>9</v>
      </c>
      <c r="F39" s="10" t="s">
        <v>89</v>
      </c>
      <c r="G39" s="21">
        <v>10.32</v>
      </c>
      <c r="H39" s="62">
        <v>1</v>
      </c>
      <c r="I39" s="107">
        <v>0</v>
      </c>
      <c r="J39" s="103">
        <f t="shared" si="1"/>
        <v>254.904</v>
      </c>
      <c r="K39" s="80"/>
      <c r="L39" s="78">
        <f>(G39-2*0.55)/0.15</f>
        <v>61.466666666666676</v>
      </c>
      <c r="M39" s="75">
        <v>64</v>
      </c>
      <c r="N39" s="78"/>
      <c r="O39" s="75">
        <f t="shared" si="2"/>
        <v>8</v>
      </c>
      <c r="P39" s="80"/>
      <c r="Q39" s="80"/>
      <c r="R39" s="80"/>
      <c r="S39" s="80"/>
      <c r="T39" s="80"/>
      <c r="U39" s="80"/>
    </row>
    <row r="40" spans="3:21" x14ac:dyDescent="0.25">
      <c r="C40" s="95" t="s">
        <v>110</v>
      </c>
      <c r="D40" s="10" t="s">
        <v>7</v>
      </c>
      <c r="E40" s="37" t="s">
        <v>9</v>
      </c>
      <c r="F40" s="10" t="s">
        <v>89</v>
      </c>
      <c r="G40" s="21">
        <v>6.2</v>
      </c>
      <c r="H40" s="62">
        <v>1</v>
      </c>
      <c r="I40" s="107">
        <v>0</v>
      </c>
      <c r="J40" s="103">
        <f t="shared" si="1"/>
        <v>153.13999999999999</v>
      </c>
      <c r="K40" s="80"/>
      <c r="L40" s="78">
        <f>(G40-1*0.55)/0.15</f>
        <v>37.666666666666671</v>
      </c>
      <c r="M40" s="75">
        <v>39</v>
      </c>
      <c r="N40" s="78"/>
      <c r="O40" s="75">
        <f t="shared" si="2"/>
        <v>8</v>
      </c>
      <c r="P40" s="80"/>
      <c r="Q40" s="80"/>
      <c r="R40" s="80"/>
      <c r="S40" s="80"/>
      <c r="T40" s="80"/>
      <c r="U40" s="80"/>
    </row>
    <row r="41" spans="3:21" x14ac:dyDescent="0.25">
      <c r="C41" s="95" t="s">
        <v>111</v>
      </c>
      <c r="D41" s="10" t="s">
        <v>7</v>
      </c>
      <c r="E41" s="37" t="s">
        <v>9</v>
      </c>
      <c r="F41" s="10" t="s">
        <v>88</v>
      </c>
      <c r="G41" s="21">
        <v>11</v>
      </c>
      <c r="H41" s="62">
        <v>1</v>
      </c>
      <c r="I41" s="107">
        <v>0</v>
      </c>
      <c r="J41" s="103">
        <f>26.3*G41</f>
        <v>289.3</v>
      </c>
      <c r="K41" s="80"/>
      <c r="L41" s="78">
        <f>(G41-2*0.55)/0.15</f>
        <v>66</v>
      </c>
      <c r="M41" s="75">
        <v>68</v>
      </c>
      <c r="N41" s="78"/>
      <c r="O41" s="75">
        <f t="shared" si="2"/>
        <v>8</v>
      </c>
      <c r="P41" s="80"/>
      <c r="Q41" s="80"/>
      <c r="R41" s="80"/>
      <c r="S41" s="80"/>
      <c r="T41" s="80"/>
      <c r="U41" s="80"/>
    </row>
    <row r="42" spans="3:21" x14ac:dyDescent="0.25">
      <c r="C42" s="95" t="s">
        <v>112</v>
      </c>
      <c r="D42" s="10" t="s">
        <v>7</v>
      </c>
      <c r="E42" s="37" t="s">
        <v>9</v>
      </c>
      <c r="F42" s="10" t="s">
        <v>89</v>
      </c>
      <c r="G42" s="21">
        <v>21.92</v>
      </c>
      <c r="H42" s="62">
        <v>1</v>
      </c>
      <c r="I42" s="107">
        <v>0</v>
      </c>
      <c r="J42" s="103">
        <f t="shared" si="1"/>
        <v>541.42399999999998</v>
      </c>
      <c r="K42" s="80"/>
      <c r="L42" s="78">
        <f>(G42-4*0.55)/0.15</f>
        <v>131.4666666666667</v>
      </c>
      <c r="M42" s="75">
        <v>136</v>
      </c>
      <c r="N42" s="78"/>
      <c r="O42" s="75">
        <f t="shared" si="2"/>
        <v>8</v>
      </c>
      <c r="P42" s="80"/>
      <c r="Q42" s="80"/>
      <c r="R42" s="80"/>
      <c r="S42" s="80"/>
      <c r="T42" s="80"/>
      <c r="U42" s="80"/>
    </row>
    <row r="43" spans="3:21" x14ac:dyDescent="0.25">
      <c r="C43" s="95" t="s">
        <v>68</v>
      </c>
      <c r="D43" s="10" t="s">
        <v>7</v>
      </c>
      <c r="E43" s="37" t="s">
        <v>9</v>
      </c>
      <c r="F43" s="10" t="s">
        <v>89</v>
      </c>
      <c r="G43" s="21">
        <v>6.2</v>
      </c>
      <c r="H43" s="62">
        <v>1</v>
      </c>
      <c r="I43" s="107">
        <v>0</v>
      </c>
      <c r="J43" s="103">
        <f t="shared" si="1"/>
        <v>153.13999999999999</v>
      </c>
      <c r="K43" s="80"/>
      <c r="L43" s="78">
        <f>(G43-1*0.55)/0.15</f>
        <v>37.666666666666671</v>
      </c>
      <c r="M43" s="75">
        <v>39</v>
      </c>
      <c r="N43" s="78"/>
      <c r="O43" s="75">
        <f t="shared" si="2"/>
        <v>8</v>
      </c>
      <c r="P43" s="80"/>
      <c r="Q43" s="80"/>
      <c r="R43" s="80"/>
      <c r="S43" s="80"/>
      <c r="T43" s="80"/>
      <c r="U43" s="80"/>
    </row>
    <row r="44" spans="3:21" x14ac:dyDescent="0.25">
      <c r="C44" s="95" t="s">
        <v>43</v>
      </c>
      <c r="D44" s="10" t="s">
        <v>7</v>
      </c>
      <c r="E44" s="37" t="s">
        <v>9</v>
      </c>
      <c r="F44" s="10" t="s">
        <v>88</v>
      </c>
      <c r="G44" s="21">
        <v>11</v>
      </c>
      <c r="H44" s="62">
        <v>1</v>
      </c>
      <c r="I44" s="107">
        <v>0</v>
      </c>
      <c r="J44" s="103">
        <f>26.3*G44</f>
        <v>289.3</v>
      </c>
      <c r="K44" s="80"/>
      <c r="L44" s="78">
        <f>(G44-2*0.55)/0.15</f>
        <v>66</v>
      </c>
      <c r="M44" s="75">
        <v>68</v>
      </c>
      <c r="N44" s="78"/>
      <c r="O44" s="75">
        <f t="shared" si="2"/>
        <v>8</v>
      </c>
      <c r="P44" s="80"/>
      <c r="Q44" s="80"/>
      <c r="R44" s="80"/>
      <c r="S44" s="80"/>
      <c r="T44" s="80"/>
      <c r="U44" s="80"/>
    </row>
    <row r="45" spans="3:21" x14ac:dyDescent="0.25">
      <c r="C45" s="95" t="s">
        <v>113</v>
      </c>
      <c r="D45" s="10" t="s">
        <v>7</v>
      </c>
      <c r="E45" s="37" t="s">
        <v>9</v>
      </c>
      <c r="F45" s="10" t="s">
        <v>89</v>
      </c>
      <c r="G45" s="21">
        <v>21.92</v>
      </c>
      <c r="H45" s="62">
        <v>1</v>
      </c>
      <c r="I45" s="107">
        <v>0</v>
      </c>
      <c r="J45" s="103">
        <f t="shared" si="1"/>
        <v>541.42399999999998</v>
      </c>
      <c r="K45" s="80"/>
      <c r="L45" s="78">
        <f>(G45-4*0.55)/0.15</f>
        <v>131.4666666666667</v>
      </c>
      <c r="M45" s="75">
        <v>136</v>
      </c>
      <c r="N45" s="78"/>
      <c r="O45" s="75">
        <f t="shared" si="2"/>
        <v>8</v>
      </c>
      <c r="P45" s="80"/>
      <c r="Q45" s="80"/>
      <c r="R45" s="80"/>
      <c r="S45" s="80"/>
      <c r="T45" s="80"/>
      <c r="U45" s="80"/>
    </row>
    <row r="46" spans="3:21" x14ac:dyDescent="0.25">
      <c r="C46" s="95" t="s">
        <v>114</v>
      </c>
      <c r="D46" s="10" t="s">
        <v>7</v>
      </c>
      <c r="E46" s="37" t="s">
        <v>9</v>
      </c>
      <c r="F46" s="10" t="s">
        <v>89</v>
      </c>
      <c r="G46" s="21">
        <v>6.2</v>
      </c>
      <c r="H46" s="62">
        <v>1</v>
      </c>
      <c r="I46" s="107">
        <v>0</v>
      </c>
      <c r="J46" s="103">
        <f t="shared" si="1"/>
        <v>153.13999999999999</v>
      </c>
      <c r="K46" s="80"/>
      <c r="L46" s="78">
        <f>(G46-1*0.55)/0.15</f>
        <v>37.666666666666671</v>
      </c>
      <c r="M46" s="75">
        <v>39</v>
      </c>
      <c r="N46" s="78"/>
      <c r="O46" s="75">
        <f t="shared" si="2"/>
        <v>8</v>
      </c>
      <c r="P46" s="80"/>
      <c r="Q46" s="80"/>
      <c r="R46" s="80"/>
      <c r="S46" s="80"/>
      <c r="T46" s="80"/>
      <c r="U46" s="80"/>
    </row>
    <row r="47" spans="3:21" x14ac:dyDescent="0.25">
      <c r="C47" s="95" t="s">
        <v>115</v>
      </c>
      <c r="D47" s="10" t="s">
        <v>7</v>
      </c>
      <c r="E47" s="37" t="s">
        <v>9</v>
      </c>
      <c r="F47" s="10" t="s">
        <v>88</v>
      </c>
      <c r="G47" s="21">
        <v>11</v>
      </c>
      <c r="H47" s="62">
        <v>1</v>
      </c>
      <c r="I47" s="107">
        <v>0</v>
      </c>
      <c r="J47" s="103">
        <f>26.3*G47</f>
        <v>289.3</v>
      </c>
      <c r="K47" s="80"/>
      <c r="L47" s="78">
        <f>(G47-2*0.55)/0.15</f>
        <v>66</v>
      </c>
      <c r="M47" s="75">
        <v>68</v>
      </c>
      <c r="N47" s="78"/>
      <c r="O47" s="75">
        <f t="shared" si="2"/>
        <v>8</v>
      </c>
      <c r="P47" s="80"/>
      <c r="Q47" s="80"/>
      <c r="R47" s="80"/>
      <c r="S47" s="80"/>
      <c r="T47" s="80"/>
      <c r="U47" s="80"/>
    </row>
    <row r="48" spans="3:21" x14ac:dyDescent="0.25">
      <c r="C48" s="95" t="s">
        <v>116</v>
      </c>
      <c r="D48" s="10" t="s">
        <v>7</v>
      </c>
      <c r="E48" s="37" t="s">
        <v>9</v>
      </c>
      <c r="F48" s="10" t="s">
        <v>89</v>
      </c>
      <c r="G48" s="21">
        <v>21.92</v>
      </c>
      <c r="H48" s="62">
        <v>1</v>
      </c>
      <c r="I48" s="107">
        <v>0</v>
      </c>
      <c r="J48" s="103">
        <f t="shared" si="1"/>
        <v>541.42399999999998</v>
      </c>
      <c r="K48" s="80"/>
      <c r="L48" s="78">
        <f>(G48-4*0.55)/0.15</f>
        <v>131.4666666666667</v>
      </c>
      <c r="M48" s="75">
        <v>136</v>
      </c>
      <c r="N48" s="78"/>
      <c r="O48" s="75">
        <f t="shared" si="2"/>
        <v>8</v>
      </c>
      <c r="P48" s="80"/>
      <c r="Q48" s="80"/>
      <c r="R48" s="80"/>
      <c r="S48" s="80"/>
      <c r="T48" s="80"/>
      <c r="U48" s="80"/>
    </row>
    <row r="49" spans="3:21" x14ac:dyDescent="0.25">
      <c r="C49" s="95" t="s">
        <v>117</v>
      </c>
      <c r="D49" s="10" t="s">
        <v>7</v>
      </c>
      <c r="E49" s="37" t="s">
        <v>9</v>
      </c>
      <c r="F49" s="10" t="s">
        <v>89</v>
      </c>
      <c r="G49" s="21">
        <v>6.28</v>
      </c>
      <c r="H49" s="62">
        <v>1</v>
      </c>
      <c r="I49" s="107">
        <v>0</v>
      </c>
      <c r="J49" s="103">
        <f t="shared" si="1"/>
        <v>155.11600000000001</v>
      </c>
      <c r="K49" s="80"/>
      <c r="L49" s="78">
        <f>(G49-1*0.55)/0.15</f>
        <v>38.200000000000003</v>
      </c>
      <c r="M49" s="75">
        <v>40</v>
      </c>
      <c r="N49" s="78"/>
      <c r="O49" s="75">
        <f t="shared" si="2"/>
        <v>8</v>
      </c>
      <c r="P49" s="80"/>
      <c r="Q49" s="80"/>
      <c r="R49" s="80"/>
      <c r="S49" s="80"/>
      <c r="T49" s="80"/>
      <c r="U49" s="80"/>
    </row>
    <row r="50" spans="3:21" x14ac:dyDescent="0.25">
      <c r="C50" s="95" t="s">
        <v>118</v>
      </c>
      <c r="D50" s="10" t="s">
        <v>7</v>
      </c>
      <c r="E50" s="37" t="s">
        <v>9</v>
      </c>
      <c r="F50" s="10" t="s">
        <v>88</v>
      </c>
      <c r="G50" s="21">
        <v>11.08</v>
      </c>
      <c r="H50" s="62">
        <v>1</v>
      </c>
      <c r="I50" s="107">
        <v>0</v>
      </c>
      <c r="J50" s="103">
        <f>26.3*G50</f>
        <v>291.404</v>
      </c>
      <c r="K50" s="80"/>
      <c r="L50" s="78">
        <f>(G50-2*0.55)/0.15</f>
        <v>66.533333333333346</v>
      </c>
      <c r="M50" s="75">
        <v>69</v>
      </c>
      <c r="N50" s="78"/>
      <c r="O50" s="75">
        <f t="shared" si="2"/>
        <v>8</v>
      </c>
      <c r="P50" s="80"/>
      <c r="Q50" s="80"/>
      <c r="R50" s="80"/>
      <c r="S50" s="80"/>
      <c r="T50" s="80"/>
      <c r="U50" s="80"/>
    </row>
    <row r="51" spans="3:21" x14ac:dyDescent="0.25">
      <c r="C51" s="145"/>
      <c r="D51" s="146"/>
      <c r="E51" s="146"/>
      <c r="F51" s="146"/>
      <c r="G51" s="146"/>
      <c r="H51" s="147"/>
      <c r="I51" s="70"/>
      <c r="J51" s="71"/>
      <c r="L51" s="85"/>
      <c r="M51" s="75"/>
      <c r="N51" s="78"/>
      <c r="O51" s="75"/>
    </row>
    <row r="52" spans="3:21" x14ac:dyDescent="0.25">
      <c r="C52" s="9" t="s">
        <v>44</v>
      </c>
      <c r="D52" s="10" t="s">
        <v>52</v>
      </c>
      <c r="E52" s="37" t="s">
        <v>9</v>
      </c>
      <c r="F52" s="10" t="s">
        <v>89</v>
      </c>
      <c r="G52" s="21">
        <v>18.100000000000001</v>
      </c>
      <c r="H52" s="62">
        <v>1</v>
      </c>
      <c r="I52" s="70">
        <f>7860*P3*(2*(0.27+0.8)+2*0.1-6*0.025)*M52*2</f>
        <v>200.73564653001907</v>
      </c>
      <c r="J52" s="71">
        <f>1.15*(7860*(T3*G52*O52+U3*(5.8+6.1)*Q52+U3*(2.9+3)*S52))</f>
        <v>381.00629626682274</v>
      </c>
      <c r="L52" s="85">
        <f>(G52-3*0.4)/0.15</f>
        <v>112.66666666666669</v>
      </c>
      <c r="M52" s="86">
        <v>116</v>
      </c>
      <c r="N52" s="85"/>
      <c r="O52" s="86">
        <f>4+4</f>
        <v>8</v>
      </c>
      <c r="P52" s="6"/>
      <c r="Q52" s="6">
        <v>2</v>
      </c>
      <c r="R52" s="6"/>
      <c r="S52" s="6">
        <v>3</v>
      </c>
    </row>
    <row r="53" spans="3:21" x14ac:dyDescent="0.25">
      <c r="C53" s="9" t="s">
        <v>45</v>
      </c>
      <c r="D53" s="10" t="s">
        <v>52</v>
      </c>
      <c r="E53" s="37" t="s">
        <v>9</v>
      </c>
      <c r="F53" s="10" t="s">
        <v>89</v>
      </c>
      <c r="G53" s="21">
        <v>9.6</v>
      </c>
      <c r="H53" s="62">
        <v>1</v>
      </c>
      <c r="I53" s="70">
        <f>7860*P3*(2*(0.27+0.8)+2*0.1-6*0.025)*M53*2</f>
        <v>91.715424707681123</v>
      </c>
      <c r="J53" s="71">
        <f>1.15*(7860*(T3*G53*O53+U3*G53*Q53+U3*2.9*S53))</f>
        <v>218.80345481882378</v>
      </c>
      <c r="L53" s="85">
        <f>(G53-2*1)/0.15</f>
        <v>50.666666666666664</v>
      </c>
      <c r="M53" s="86">
        <v>53</v>
      </c>
      <c r="N53" s="85"/>
      <c r="O53" s="86">
        <f>4+4</f>
        <v>8</v>
      </c>
      <c r="P53" s="6"/>
      <c r="Q53" s="6">
        <v>2</v>
      </c>
      <c r="R53" s="6"/>
      <c r="S53" s="6">
        <v>3</v>
      </c>
    </row>
    <row r="54" spans="3:21" x14ac:dyDescent="0.25">
      <c r="C54" s="9" t="s">
        <v>46</v>
      </c>
      <c r="D54" s="10" t="s">
        <v>52</v>
      </c>
      <c r="E54" s="37" t="s">
        <v>9</v>
      </c>
      <c r="F54" s="10" t="s">
        <v>89</v>
      </c>
      <c r="G54" s="21">
        <v>12.05</v>
      </c>
      <c r="H54" s="62">
        <v>1</v>
      </c>
      <c r="I54" s="70">
        <f>7860*P3*(2*(0.27+0.8)+2*0.1-6*0.025)*M54*2</f>
        <v>133.24693778285749</v>
      </c>
      <c r="J54" s="71">
        <f>1.15*(7860*(T3*G54*O54+U3*G54*Q54+U3*2.9*S54))</f>
        <v>268.33893041789406</v>
      </c>
      <c r="L54" s="85">
        <f>(G54-2*0.4)/0.15</f>
        <v>75</v>
      </c>
      <c r="M54" s="86">
        <v>77</v>
      </c>
      <c r="N54" s="85"/>
      <c r="O54" s="86">
        <f>4+4</f>
        <v>8</v>
      </c>
      <c r="P54" s="6"/>
      <c r="Q54" s="6">
        <v>2</v>
      </c>
      <c r="R54" s="6"/>
      <c r="S54" s="6">
        <v>3</v>
      </c>
    </row>
    <row r="55" spans="3:21" x14ac:dyDescent="0.25">
      <c r="C55" s="9" t="s">
        <v>47</v>
      </c>
      <c r="D55" s="10" t="s">
        <v>52</v>
      </c>
      <c r="E55" s="37" t="s">
        <v>9</v>
      </c>
      <c r="F55" s="10" t="s">
        <v>89</v>
      </c>
      <c r="G55" s="21">
        <v>22.1</v>
      </c>
      <c r="H55" s="62">
        <v>1</v>
      </c>
      <c r="I55" s="70">
        <f>7860*P3*(2*(0.27+0.8)+2*0.1-6*0.025)*M55*2</f>
        <v>216.30996393321018</v>
      </c>
      <c r="J55" s="71">
        <f>1.15*(7860*(T3*G55*O55+U3*(6+6)*Q55+U3*(2.9+3)*S55))</f>
        <v>439.73099446613332</v>
      </c>
      <c r="L55" s="85">
        <f>(G55-4*1)/0.15</f>
        <v>120.66666666666669</v>
      </c>
      <c r="M55" s="86">
        <v>125</v>
      </c>
      <c r="N55" s="85"/>
      <c r="O55" s="86">
        <f t="shared" ref="O55:O57" si="3">4+4</f>
        <v>8</v>
      </c>
      <c r="P55" s="6"/>
      <c r="Q55" s="6">
        <v>2</v>
      </c>
      <c r="R55" s="6"/>
      <c r="S55" s="6">
        <v>3</v>
      </c>
    </row>
    <row r="56" spans="3:21" x14ac:dyDescent="0.25">
      <c r="C56" s="9" t="s">
        <v>48</v>
      </c>
      <c r="D56" s="10" t="s">
        <v>52</v>
      </c>
      <c r="E56" s="37" t="s">
        <v>9</v>
      </c>
      <c r="F56" s="10" t="s">
        <v>89</v>
      </c>
      <c r="G56" s="21">
        <v>18.149999999999999</v>
      </c>
      <c r="H56" s="62">
        <v>1</v>
      </c>
      <c r="I56" s="70">
        <f>7860*P3*(2*(0.27+0.8)+2*0.1-6*0.025)*M56*2</f>
        <v>200.73564653001907</v>
      </c>
      <c r="J56" s="71">
        <f>1.15*(7860*(T3*G56*O56+U3*(5.85+6.1)*Q56+U3*(2.9+3)*S56))</f>
        <v>382.01722434027312</v>
      </c>
      <c r="L56" s="85">
        <f>(G56-3*0.4)/0.15</f>
        <v>113</v>
      </c>
      <c r="M56" s="86">
        <v>116</v>
      </c>
      <c r="N56" s="85"/>
      <c r="O56" s="86">
        <f t="shared" si="3"/>
        <v>8</v>
      </c>
      <c r="P56" s="6"/>
      <c r="Q56" s="6">
        <v>2</v>
      </c>
      <c r="R56" s="6"/>
      <c r="S56" s="6">
        <v>3</v>
      </c>
    </row>
    <row r="57" spans="3:21" x14ac:dyDescent="0.25">
      <c r="C57" s="9" t="s">
        <v>49</v>
      </c>
      <c r="D57" s="10" t="s">
        <v>52</v>
      </c>
      <c r="E57" s="37" t="s">
        <v>9</v>
      </c>
      <c r="F57" s="10" t="s">
        <v>89</v>
      </c>
      <c r="G57" s="21">
        <v>11.25</v>
      </c>
      <c r="H57" s="62">
        <v>1</v>
      </c>
      <c r="I57" s="70">
        <f>7860*P3*(2*(0.27+0.8)+2*0.1-6*0.025)*M57*2</f>
        <v>110.75070153380362</v>
      </c>
      <c r="J57" s="71">
        <f>1.15*(7860*(T3*G57*O57+U3*G57*Q57+U3*2.9*S57))</f>
        <v>252.16408124268747</v>
      </c>
      <c r="L57" s="85">
        <f>(G57-2*1)/0.15</f>
        <v>61.666666666666671</v>
      </c>
      <c r="M57" s="86">
        <v>64</v>
      </c>
      <c r="N57" s="85"/>
      <c r="O57" s="86">
        <f t="shared" si="3"/>
        <v>8</v>
      </c>
      <c r="P57" s="6"/>
      <c r="Q57" s="6">
        <v>2</v>
      </c>
      <c r="R57" s="6"/>
      <c r="S57" s="6">
        <v>3</v>
      </c>
    </row>
    <row r="58" spans="3:21" x14ac:dyDescent="0.25">
      <c r="C58" s="9" t="s">
        <v>50</v>
      </c>
      <c r="D58" s="10" t="s">
        <v>52</v>
      </c>
      <c r="E58" s="37" t="s">
        <v>9</v>
      </c>
      <c r="F58" s="10" t="s">
        <v>89</v>
      </c>
      <c r="G58" s="21">
        <v>11.85</v>
      </c>
      <c r="H58" s="62">
        <v>1</v>
      </c>
      <c r="I58" s="70">
        <f>7860*P3*(2*(0.27+0.8)+2*0.1-6*0.025)*M58*2</f>
        <v>131.51645807139181</v>
      </c>
      <c r="J58" s="71">
        <f>1.15*(7860*(T3*G58*O58+U3*G58*Q58+U3*2.9*S58))</f>
        <v>264.2952181240924</v>
      </c>
      <c r="L58" s="85">
        <f>(G58-2*0.4)/0.15</f>
        <v>73.666666666666657</v>
      </c>
      <c r="M58" s="86">
        <v>76</v>
      </c>
      <c r="N58" s="85"/>
      <c r="O58" s="86">
        <f>4+4</f>
        <v>8</v>
      </c>
      <c r="P58" s="6"/>
      <c r="Q58" s="6">
        <v>2</v>
      </c>
      <c r="R58" s="6"/>
      <c r="S58" s="6">
        <v>3</v>
      </c>
    </row>
    <row r="59" spans="3:21" x14ac:dyDescent="0.25">
      <c r="C59" s="9" t="s">
        <v>51</v>
      </c>
      <c r="D59" s="10" t="s">
        <v>52</v>
      </c>
      <c r="E59" s="37" t="s">
        <v>9</v>
      </c>
      <c r="F59" s="10" t="s">
        <v>89</v>
      </c>
      <c r="G59" s="21">
        <v>15.8</v>
      </c>
      <c r="H59" s="62">
        <v>1</v>
      </c>
      <c r="I59" s="70">
        <f>7860*P3*(2*(0.27+0.8)+2*0.1-6*0.025)*M59*2</f>
        <v>154.01269432044566</v>
      </c>
      <c r="J59" s="71">
        <f>1.15*(7860*(T3*G59*O59+U3*(4.6+6)*Q59+U3*(2.9+3)*S59))</f>
        <v>340.1829760872634</v>
      </c>
      <c r="L59" s="85">
        <f>(G59-3*1)/0.15</f>
        <v>85.333333333333343</v>
      </c>
      <c r="M59" s="86">
        <v>89</v>
      </c>
      <c r="N59" s="85"/>
      <c r="O59" s="86">
        <f>4+4</f>
        <v>8</v>
      </c>
      <c r="P59" s="6"/>
      <c r="Q59" s="6">
        <v>2</v>
      </c>
      <c r="R59" s="6"/>
      <c r="S59" s="6">
        <v>3</v>
      </c>
    </row>
    <row r="60" spans="3:21" x14ac:dyDescent="0.25">
      <c r="C60" s="145"/>
      <c r="D60" s="146"/>
      <c r="E60" s="146"/>
      <c r="F60" s="146"/>
      <c r="G60" s="146"/>
      <c r="H60" s="147"/>
      <c r="I60" s="70"/>
      <c r="J60" s="71"/>
      <c r="L60" s="85"/>
      <c r="M60" s="86"/>
      <c r="N60" s="78"/>
      <c r="O60" s="75"/>
    </row>
    <row r="61" spans="3:21" x14ac:dyDescent="0.25">
      <c r="C61" s="9" t="s">
        <v>391</v>
      </c>
      <c r="D61" s="10" t="s">
        <v>10</v>
      </c>
      <c r="E61" s="37" t="s">
        <v>9</v>
      </c>
      <c r="F61" s="10" t="s">
        <v>119</v>
      </c>
      <c r="G61" s="92">
        <v>4.88</v>
      </c>
      <c r="H61" s="62">
        <v>7</v>
      </c>
      <c r="I61" s="70">
        <f>7860*O3*(2*(0.6+0.4)+2*0.1-6*0.025)*M61*2*H61</f>
        <v>140.31997728845437</v>
      </c>
      <c r="J61" s="71">
        <f>1.15*(7860*(U3*G61*O61))*H61</f>
        <v>1164.0439209797569</v>
      </c>
      <c r="L61" s="78">
        <f>(G61-0.7)/0.2</f>
        <v>20.9</v>
      </c>
      <c r="M61" s="75">
        <v>22</v>
      </c>
      <c r="N61" s="78"/>
      <c r="O61" s="75">
        <f>6+6</f>
        <v>12</v>
      </c>
      <c r="P61" s="80"/>
      <c r="Q61" s="80"/>
      <c r="R61" s="80"/>
      <c r="S61" s="80"/>
      <c r="T61" s="80"/>
      <c r="U61" s="80"/>
    </row>
    <row r="62" spans="3:21" x14ac:dyDescent="0.25">
      <c r="C62" s="9" t="s">
        <v>392</v>
      </c>
      <c r="D62" s="10" t="s">
        <v>10</v>
      </c>
      <c r="E62" s="37" t="s">
        <v>9</v>
      </c>
      <c r="F62" s="10" t="s">
        <v>119</v>
      </c>
      <c r="G62" s="92">
        <v>4.4400000000000004</v>
      </c>
      <c r="H62" s="62">
        <v>13</v>
      </c>
      <c r="I62" s="70">
        <f>7860*O3*(2*(0.6+0.4)+2*0.1-6*0.025)*M62*2*H62</f>
        <v>260.59424353570097</v>
      </c>
      <c r="J62" s="71">
        <f>1.15*(7860*(T3*G62*O62))*H62</f>
        <v>1258.8030935634958</v>
      </c>
      <c r="L62" s="78">
        <f>(G62-0.37)/0.2</f>
        <v>20.350000000000001</v>
      </c>
      <c r="M62" s="75">
        <v>22</v>
      </c>
      <c r="N62" s="78"/>
      <c r="O62" s="75">
        <f t="shared" ref="O62:O63" si="4">6+6</f>
        <v>12</v>
      </c>
      <c r="P62" s="80"/>
      <c r="Q62" s="80"/>
      <c r="R62" s="80"/>
      <c r="S62" s="80"/>
      <c r="T62" s="80"/>
      <c r="U62" s="80"/>
    </row>
    <row r="63" spans="3:21" x14ac:dyDescent="0.25">
      <c r="C63" s="9" t="s">
        <v>394</v>
      </c>
      <c r="D63" s="10" t="s">
        <v>10</v>
      </c>
      <c r="E63" s="37" t="s">
        <v>9</v>
      </c>
      <c r="F63" s="10" t="s">
        <v>119</v>
      </c>
      <c r="G63" s="92">
        <v>4.4400000000000004</v>
      </c>
      <c r="H63" s="62">
        <v>6</v>
      </c>
      <c r="I63" s="70">
        <f>7860*O3*(2*(0.6+0.4)+2*0.1-6*0.025)*M63*2*H63</f>
        <v>120.2742662472466</v>
      </c>
      <c r="J63" s="71">
        <f>1.15*(7860*(T3*G63*O63))*H63</f>
        <v>580.98604318315199</v>
      </c>
      <c r="L63" s="78">
        <f>(G63-0.37)/0.2</f>
        <v>20.350000000000001</v>
      </c>
      <c r="M63" s="75">
        <v>22</v>
      </c>
      <c r="N63" s="78"/>
      <c r="O63" s="75">
        <f t="shared" si="4"/>
        <v>12</v>
      </c>
      <c r="P63" s="80"/>
      <c r="Q63" s="80"/>
      <c r="R63" s="80"/>
      <c r="S63" s="80"/>
      <c r="T63" s="80"/>
      <c r="U63" s="80"/>
    </row>
    <row r="64" spans="3:21" x14ac:dyDescent="0.25">
      <c r="C64" s="95" t="s">
        <v>393</v>
      </c>
      <c r="D64" s="10" t="s">
        <v>10</v>
      </c>
      <c r="E64" s="37" t="s">
        <v>9</v>
      </c>
      <c r="F64" s="10" t="s">
        <v>120</v>
      </c>
      <c r="G64" s="92">
        <v>4.4400000000000004</v>
      </c>
      <c r="H64" s="62">
        <v>4</v>
      </c>
      <c r="I64" s="107">
        <v>0</v>
      </c>
      <c r="J64" s="103">
        <f>1.15*(7860*(T3*G64*O64))*H64+7860*P3*(2*(0.4+0.4)+2*0.1-8*0.025)*M64*H64</f>
        <v>323.95844476052321</v>
      </c>
      <c r="L64" s="78">
        <f>(G64-0.8)/0.15</f>
        <v>24.266666666666673</v>
      </c>
      <c r="M64" s="75">
        <v>26</v>
      </c>
      <c r="N64" s="78"/>
      <c r="O64" s="75">
        <f>4+4</f>
        <v>8</v>
      </c>
      <c r="P64" s="80"/>
      <c r="Q64" s="80"/>
      <c r="R64" s="80"/>
      <c r="S64" s="80"/>
      <c r="T64" s="80"/>
      <c r="U64" s="80"/>
    </row>
    <row r="65" spans="3:21" x14ac:dyDescent="0.25">
      <c r="C65" s="95" t="s">
        <v>395</v>
      </c>
      <c r="D65" s="10" t="s">
        <v>10</v>
      </c>
      <c r="E65" s="37" t="s">
        <v>9</v>
      </c>
      <c r="F65" s="10" t="s">
        <v>121</v>
      </c>
      <c r="G65" s="92">
        <v>4.4400000000000004</v>
      </c>
      <c r="H65" s="62">
        <v>3</v>
      </c>
      <c r="I65" s="107">
        <v>0</v>
      </c>
      <c r="J65" s="103">
        <f>1.15*(7860*(T3*G65*O65))*H65+7860*P3*(2*(0.55+0.55)+2*0.1-8*0.025)*M65*H65</f>
        <v>243.20588558566169</v>
      </c>
      <c r="L65" s="78">
        <f>(G65-1.84)/0.15</f>
        <v>17.333333333333339</v>
      </c>
      <c r="M65" s="75">
        <v>19</v>
      </c>
      <c r="N65" s="78"/>
      <c r="O65" s="75">
        <f t="shared" ref="O65:O68" si="5">4+4</f>
        <v>8</v>
      </c>
      <c r="P65" s="80"/>
      <c r="Q65" s="80"/>
      <c r="R65" s="80"/>
      <c r="S65" s="80"/>
      <c r="T65" s="80"/>
      <c r="U65" s="80"/>
    </row>
    <row r="66" spans="3:21" x14ac:dyDescent="0.25">
      <c r="C66" s="95" t="s">
        <v>396</v>
      </c>
      <c r="D66" s="10" t="s">
        <v>10</v>
      </c>
      <c r="E66" s="37" t="s">
        <v>9</v>
      </c>
      <c r="F66" s="10" t="s">
        <v>66</v>
      </c>
      <c r="G66" s="92">
        <v>4.4400000000000004</v>
      </c>
      <c r="H66" s="62">
        <v>19</v>
      </c>
      <c r="I66" s="107">
        <v>0</v>
      </c>
      <c r="J66" s="103">
        <f>1.15*(7860*(T3*G66*O66))*H66+7860*P3*(PI()*(0.55-2*0.025))*M66*H66</f>
        <v>1533.1028491862382</v>
      </c>
      <c r="L66" s="78">
        <f>(G66-0.8)/0.15</f>
        <v>24.266666666666673</v>
      </c>
      <c r="M66" s="75">
        <v>26</v>
      </c>
      <c r="N66" s="78"/>
      <c r="O66" s="75">
        <f t="shared" si="5"/>
        <v>8</v>
      </c>
      <c r="P66" s="80"/>
      <c r="Q66" s="80"/>
      <c r="R66" s="80"/>
      <c r="S66" s="80"/>
      <c r="T66" s="80"/>
      <c r="U66" s="80"/>
    </row>
    <row r="67" spans="3:21" x14ac:dyDescent="0.25">
      <c r="C67" s="95" t="s">
        <v>397</v>
      </c>
      <c r="D67" s="10" t="s">
        <v>10</v>
      </c>
      <c r="E67" s="37" t="s">
        <v>9</v>
      </c>
      <c r="F67" s="10" t="s">
        <v>121</v>
      </c>
      <c r="G67" s="92">
        <v>3.6</v>
      </c>
      <c r="H67" s="62">
        <v>2</v>
      </c>
      <c r="I67" s="107">
        <v>0</v>
      </c>
      <c r="J67" s="103">
        <f>1.15*(7860*(T3*G67*O67))*H67+7860*P3*(2*(0.55+0.55)+2*0.1-8*0.025)*M67*H67</f>
        <v>137.71141740376208</v>
      </c>
      <c r="L67" s="78">
        <f>(G67-1)/0.15</f>
        <v>17.333333333333336</v>
      </c>
      <c r="M67" s="75">
        <v>19</v>
      </c>
      <c r="N67" s="78"/>
      <c r="O67" s="75">
        <f t="shared" si="5"/>
        <v>8</v>
      </c>
      <c r="P67" s="80"/>
      <c r="Q67" s="80"/>
      <c r="R67" s="80"/>
      <c r="S67" s="80"/>
      <c r="T67" s="80"/>
      <c r="U67" s="80"/>
    </row>
    <row r="68" spans="3:21" x14ac:dyDescent="0.25">
      <c r="C68" s="95" t="s">
        <v>398</v>
      </c>
      <c r="D68" s="10" t="s">
        <v>10</v>
      </c>
      <c r="E68" s="37" t="s">
        <v>9</v>
      </c>
      <c r="F68" s="10" t="s">
        <v>66</v>
      </c>
      <c r="G68" s="92">
        <v>3.6</v>
      </c>
      <c r="H68" s="62">
        <v>6</v>
      </c>
      <c r="I68" s="107">
        <v>0</v>
      </c>
      <c r="J68" s="103">
        <f>1.15*(7860*(T3*G68*O68))*H68+7860*P3*(PI()*(0.55-2*0.025))*M68*H68</f>
        <v>384.79499244914757</v>
      </c>
      <c r="L68" s="78">
        <f>(G68-1)/0.15</f>
        <v>17.333333333333336</v>
      </c>
      <c r="M68" s="75">
        <v>19</v>
      </c>
      <c r="N68" s="78"/>
      <c r="O68" s="75">
        <f t="shared" si="5"/>
        <v>8</v>
      </c>
      <c r="P68" s="80"/>
      <c r="Q68" s="80"/>
      <c r="R68" s="80"/>
      <c r="S68" s="80"/>
      <c r="T68" s="80"/>
      <c r="U68" s="80"/>
    </row>
    <row r="69" spans="3:21" x14ac:dyDescent="0.25">
      <c r="C69" s="145"/>
      <c r="D69" s="146"/>
      <c r="E69" s="146"/>
      <c r="F69" s="146"/>
      <c r="G69" s="146"/>
      <c r="H69" s="147"/>
      <c r="I69" s="70"/>
      <c r="J69" s="71"/>
      <c r="L69" s="85"/>
      <c r="M69" s="86"/>
      <c r="N69" s="78"/>
      <c r="O69" s="75"/>
    </row>
    <row r="70" spans="3:21" x14ac:dyDescent="0.25">
      <c r="C70" s="95" t="s">
        <v>69</v>
      </c>
      <c r="D70" s="10" t="s">
        <v>15</v>
      </c>
      <c r="E70" s="37" t="s">
        <v>9</v>
      </c>
      <c r="F70" s="10" t="s">
        <v>16</v>
      </c>
      <c r="G70" s="38">
        <v>6.5</v>
      </c>
      <c r="H70" s="62">
        <v>1</v>
      </c>
      <c r="I70" s="107">
        <v>0</v>
      </c>
      <c r="J70" s="103">
        <f>16.4*(G70*4.88-0.84*2.43-1.14*2.43)</f>
        <v>441.30103999999994</v>
      </c>
      <c r="L70" s="85"/>
      <c r="M70" s="86"/>
      <c r="N70" s="78"/>
      <c r="O70" s="75"/>
    </row>
    <row r="71" spans="3:21" x14ac:dyDescent="0.25">
      <c r="C71" s="95" t="s">
        <v>70</v>
      </c>
      <c r="D71" s="10" t="s">
        <v>15</v>
      </c>
      <c r="E71" s="37" t="s">
        <v>9</v>
      </c>
      <c r="F71" s="10" t="s">
        <v>16</v>
      </c>
      <c r="G71" s="38">
        <v>2.95</v>
      </c>
      <c r="H71" s="62">
        <v>1</v>
      </c>
      <c r="I71" s="107">
        <v>0</v>
      </c>
      <c r="J71" s="103">
        <f>16.4*(G71*4.88)</f>
        <v>236.09439999999998</v>
      </c>
      <c r="L71" s="85"/>
      <c r="M71" s="86"/>
      <c r="N71" s="78"/>
      <c r="O71" s="75"/>
    </row>
    <row r="72" spans="3:21" x14ac:dyDescent="0.25">
      <c r="C72" s="95" t="s">
        <v>71</v>
      </c>
      <c r="D72" s="10" t="s">
        <v>15</v>
      </c>
      <c r="E72" s="37" t="s">
        <v>9</v>
      </c>
      <c r="F72" s="10" t="s">
        <v>16</v>
      </c>
      <c r="G72" s="38">
        <v>4.6500000000000004</v>
      </c>
      <c r="H72" s="62">
        <v>1</v>
      </c>
      <c r="I72" s="107">
        <v>0</v>
      </c>
      <c r="J72" s="103">
        <f>16.4*(G72*4.88)</f>
        <v>372.14879999999999</v>
      </c>
      <c r="L72" s="85"/>
      <c r="M72" s="86"/>
      <c r="N72" s="78"/>
      <c r="O72" s="75"/>
    </row>
    <row r="73" spans="3:21" x14ac:dyDescent="0.25">
      <c r="C73" s="95" t="s">
        <v>72</v>
      </c>
      <c r="D73" s="10" t="s">
        <v>15</v>
      </c>
      <c r="E73" s="37" t="s">
        <v>9</v>
      </c>
      <c r="F73" s="10" t="s">
        <v>16</v>
      </c>
      <c r="G73" s="38">
        <v>6.5</v>
      </c>
      <c r="H73" s="62">
        <v>1</v>
      </c>
      <c r="I73" s="107">
        <v>0</v>
      </c>
      <c r="J73" s="103">
        <f>16.4*(G73*4.88-1.14*2.43)</f>
        <v>474.77671999999995</v>
      </c>
      <c r="L73" s="85"/>
      <c r="M73" s="86"/>
      <c r="N73" s="78"/>
      <c r="O73" s="75"/>
    </row>
    <row r="74" spans="3:21" x14ac:dyDescent="0.25">
      <c r="C74" s="95" t="s">
        <v>73</v>
      </c>
      <c r="D74" s="10" t="s">
        <v>15</v>
      </c>
      <c r="E74" s="37" t="s">
        <v>9</v>
      </c>
      <c r="F74" s="10" t="s">
        <v>16</v>
      </c>
      <c r="G74" s="38">
        <v>11.25</v>
      </c>
      <c r="H74" s="62">
        <v>1</v>
      </c>
      <c r="I74" s="107">
        <v>0</v>
      </c>
      <c r="J74" s="103">
        <f>16.4*(G74*4.88-1.14*2.43)</f>
        <v>854.92871999999988</v>
      </c>
      <c r="L74" s="78"/>
      <c r="M74" s="75"/>
      <c r="N74" s="78"/>
      <c r="O74" s="75"/>
    </row>
    <row r="75" spans="3:21" x14ac:dyDescent="0.25">
      <c r="C75" s="95" t="s">
        <v>74</v>
      </c>
      <c r="D75" s="10" t="s">
        <v>15</v>
      </c>
      <c r="E75" s="37" t="s">
        <v>9</v>
      </c>
      <c r="F75" s="10" t="s">
        <v>16</v>
      </c>
      <c r="G75" s="38">
        <v>4.1500000000000004</v>
      </c>
      <c r="H75" s="62">
        <v>1</v>
      </c>
      <c r="I75" s="107">
        <v>0</v>
      </c>
      <c r="J75" s="103">
        <f>16.4*(G75*4.88-1.18*2.33-1.18*2.33)</f>
        <v>241.95248000000001</v>
      </c>
      <c r="L75" s="78"/>
      <c r="M75" s="75"/>
      <c r="N75" s="78"/>
      <c r="O75" s="75"/>
    </row>
    <row r="76" spans="3:21" x14ac:dyDescent="0.25">
      <c r="C76" s="95" t="s">
        <v>75</v>
      </c>
      <c r="D76" s="10" t="s">
        <v>15</v>
      </c>
      <c r="E76" s="37" t="s">
        <v>9</v>
      </c>
      <c r="F76" s="10" t="s">
        <v>16</v>
      </c>
      <c r="G76" s="38">
        <v>2.2000000000000002</v>
      </c>
      <c r="H76" s="62">
        <v>1</v>
      </c>
      <c r="I76" s="107">
        <v>0</v>
      </c>
      <c r="J76" s="103">
        <f>16.4*(G76*4.88)</f>
        <v>176.07040000000001</v>
      </c>
      <c r="L76" s="78"/>
      <c r="M76" s="75"/>
      <c r="N76" s="78"/>
      <c r="O76" s="75"/>
    </row>
    <row r="77" spans="3:21" x14ac:dyDescent="0.25">
      <c r="C77" s="95" t="s">
        <v>76</v>
      </c>
      <c r="D77" s="10" t="s">
        <v>15</v>
      </c>
      <c r="E77" s="37" t="s">
        <v>9</v>
      </c>
      <c r="F77" s="10" t="s">
        <v>16</v>
      </c>
      <c r="G77" s="38">
        <v>2.2000000000000002</v>
      </c>
      <c r="H77" s="62">
        <v>1</v>
      </c>
      <c r="I77" s="107">
        <v>0</v>
      </c>
      <c r="J77" s="103">
        <f>16.4*(G77*4.88)</f>
        <v>176.07040000000001</v>
      </c>
      <c r="L77" s="78"/>
      <c r="M77" s="75"/>
      <c r="N77" s="78"/>
      <c r="O77" s="75"/>
    </row>
    <row r="78" spans="3:21" x14ac:dyDescent="0.25">
      <c r="C78" s="95" t="s">
        <v>77</v>
      </c>
      <c r="D78" s="10" t="s">
        <v>15</v>
      </c>
      <c r="E78" s="37" t="s">
        <v>9</v>
      </c>
      <c r="F78" s="10" t="s">
        <v>16</v>
      </c>
      <c r="G78" s="38">
        <v>11.25</v>
      </c>
      <c r="H78" s="62">
        <v>1</v>
      </c>
      <c r="I78" s="107">
        <v>0</v>
      </c>
      <c r="J78" s="103">
        <f>16.4*(G78*4.88-1.14*2.43)</f>
        <v>854.92871999999988</v>
      </c>
      <c r="L78" s="78"/>
      <c r="M78" s="75"/>
      <c r="N78" s="78"/>
      <c r="O78" s="75"/>
    </row>
    <row r="79" spans="3:21" x14ac:dyDescent="0.25">
      <c r="C79" s="95" t="s">
        <v>78</v>
      </c>
      <c r="D79" s="10" t="s">
        <v>15</v>
      </c>
      <c r="E79" s="37" t="s">
        <v>9</v>
      </c>
      <c r="F79" s="10" t="s">
        <v>16</v>
      </c>
      <c r="G79" s="38">
        <v>6.5</v>
      </c>
      <c r="H79" s="62">
        <v>1</v>
      </c>
      <c r="I79" s="107">
        <v>0</v>
      </c>
      <c r="J79" s="103">
        <f>16.4*(G79*4.88-1.14*2.43)</f>
        <v>474.77671999999995</v>
      </c>
      <c r="L79" s="78"/>
      <c r="M79" s="75"/>
      <c r="N79" s="78"/>
      <c r="O79" s="75"/>
    </row>
    <row r="80" spans="3:21" x14ac:dyDescent="0.25">
      <c r="C80" s="95" t="s">
        <v>79</v>
      </c>
      <c r="D80" s="10" t="s">
        <v>15</v>
      </c>
      <c r="E80" s="37" t="s">
        <v>9</v>
      </c>
      <c r="F80" s="10" t="s">
        <v>16</v>
      </c>
      <c r="G80" s="38">
        <v>6.5</v>
      </c>
      <c r="H80" s="62">
        <v>1</v>
      </c>
      <c r="I80" s="107">
        <v>0</v>
      </c>
      <c r="J80" s="103">
        <f>16.4*(G80*4.88)</f>
        <v>520.20799999999997</v>
      </c>
      <c r="L80" s="78"/>
      <c r="M80" s="75"/>
      <c r="N80" s="78"/>
      <c r="O80" s="75"/>
    </row>
    <row r="81" spans="3:17" x14ac:dyDescent="0.25">
      <c r="C81" s="95" t="s">
        <v>81</v>
      </c>
      <c r="D81" s="10" t="s">
        <v>15</v>
      </c>
      <c r="E81" s="37" t="s">
        <v>9</v>
      </c>
      <c r="F81" s="10" t="s">
        <v>16</v>
      </c>
      <c r="G81" s="38">
        <v>10.32</v>
      </c>
      <c r="H81" s="62">
        <v>1</v>
      </c>
      <c r="I81" s="107">
        <v>0</v>
      </c>
      <c r="J81" s="103">
        <f>11.5*(G81*4.44-1.02*2.07)</f>
        <v>502.65810000000005</v>
      </c>
      <c r="L81" s="78"/>
      <c r="M81" s="75"/>
      <c r="N81" s="78"/>
      <c r="O81" s="75"/>
    </row>
    <row r="82" spans="3:17" x14ac:dyDescent="0.25">
      <c r="C82" s="95" t="s">
        <v>82</v>
      </c>
      <c r="D82" s="10" t="s">
        <v>15</v>
      </c>
      <c r="E82" s="37" t="s">
        <v>9</v>
      </c>
      <c r="F82" s="10" t="s">
        <v>16</v>
      </c>
      <c r="G82" s="38">
        <v>18.100000000000001</v>
      </c>
      <c r="H82" s="62">
        <v>1</v>
      </c>
      <c r="I82" s="107">
        <v>0</v>
      </c>
      <c r="J82" s="103">
        <f>11.5*(G82*4.88)</f>
        <v>1015.772</v>
      </c>
      <c r="L82" s="78"/>
      <c r="M82" s="75"/>
      <c r="N82" s="78"/>
      <c r="O82" s="75"/>
    </row>
    <row r="83" spans="3:17" x14ac:dyDescent="0.25">
      <c r="C83" s="95" t="s">
        <v>80</v>
      </c>
      <c r="D83" s="10" t="s">
        <v>15</v>
      </c>
      <c r="E83" s="37" t="s">
        <v>9</v>
      </c>
      <c r="F83" s="10" t="s">
        <v>16</v>
      </c>
      <c r="G83" s="38">
        <v>17.850000000000001</v>
      </c>
      <c r="H83" s="62">
        <v>1</v>
      </c>
      <c r="I83" s="107">
        <v>0</v>
      </c>
      <c r="J83" s="103">
        <f>11.5*(G83*4.44-1.02*2.51)</f>
        <v>881.97870000000023</v>
      </c>
      <c r="L83" s="78"/>
      <c r="M83" s="75"/>
      <c r="N83" s="78"/>
      <c r="O83" s="75"/>
    </row>
    <row r="84" spans="3:17" x14ac:dyDescent="0.25">
      <c r="C84" s="95" t="s">
        <v>83</v>
      </c>
      <c r="D84" s="10" t="s">
        <v>15</v>
      </c>
      <c r="E84" s="37" t="s">
        <v>9</v>
      </c>
      <c r="F84" s="10" t="s">
        <v>16</v>
      </c>
      <c r="G84" s="38">
        <v>5.28</v>
      </c>
      <c r="H84" s="62">
        <v>1</v>
      </c>
      <c r="I84" s="107">
        <v>0</v>
      </c>
      <c r="J84" s="103">
        <f>11.5*(G84*3.6-1.02*2.41+5.25*3.6-5.25*2.48)</f>
        <v>257.94270000000006</v>
      </c>
      <c r="L84" s="78"/>
      <c r="M84" s="75"/>
      <c r="N84" s="78"/>
      <c r="O84" s="75"/>
    </row>
    <row r="85" spans="3:17" ht="30" x14ac:dyDescent="0.25">
      <c r="C85" s="95" t="s">
        <v>84</v>
      </c>
      <c r="D85" s="10" t="s">
        <v>15</v>
      </c>
      <c r="E85" s="37" t="s">
        <v>9</v>
      </c>
      <c r="F85" s="37" t="s">
        <v>627</v>
      </c>
      <c r="G85" s="38">
        <v>36.25</v>
      </c>
      <c r="H85" s="62">
        <v>1</v>
      </c>
      <c r="I85" s="107">
        <v>0</v>
      </c>
      <c r="J85" s="103">
        <f>17.5*(G85*3.6)+1.15*(7860*(T3*3.6*O85))*6+7860*P3*(2*(0.55+0.4)+2*0.1-8*0.025)*M85*6</f>
        <v>2701.3882405014024</v>
      </c>
      <c r="L85" s="85">
        <f>(3.6-0.3)/0.15</f>
        <v>22.000000000000004</v>
      </c>
      <c r="M85" s="86">
        <v>23</v>
      </c>
      <c r="N85" s="85"/>
      <c r="O85" s="86">
        <f>4+4</f>
        <v>8</v>
      </c>
      <c r="P85">
        <f>(4.44-0.24)/0.15</f>
        <v>28.000000000000004</v>
      </c>
      <c r="Q85">
        <v>29</v>
      </c>
    </row>
    <row r="86" spans="3:17" ht="30" x14ac:dyDescent="0.25">
      <c r="C86" s="95" t="s">
        <v>85</v>
      </c>
      <c r="D86" s="10" t="s">
        <v>15</v>
      </c>
      <c r="E86" s="37" t="s">
        <v>9</v>
      </c>
      <c r="F86" s="37" t="s">
        <v>627</v>
      </c>
      <c r="G86" s="38">
        <v>56.07</v>
      </c>
      <c r="H86" s="62">
        <v>1</v>
      </c>
      <c r="I86" s="107">
        <v>0</v>
      </c>
      <c r="J86" s="103">
        <f>17.5*(G86*4.44-10.6*(4.44-3.6))+1.15*(7860*(T3*3.6*O86))*1+1.15*(7860*(T3*4.44*O86))*8+7860*P3*(2*(0.55+0.4)+2*0.1-8*0.025)*M86*1+7860*P3*(2*(0.4+0.4)+2*0.1-8*0.025)*Q86*8</f>
        <v>4933.5135919151808</v>
      </c>
      <c r="L86" s="85">
        <f t="shared" ref="L86:L88" si="6">(3.6-0.3)/0.15</f>
        <v>22.000000000000004</v>
      </c>
      <c r="M86" s="86">
        <v>23</v>
      </c>
      <c r="N86" s="85"/>
      <c r="O86" s="86">
        <f t="shared" ref="O86:O88" si="7">4+4</f>
        <v>8</v>
      </c>
      <c r="P86">
        <f t="shared" ref="P86:P88" si="8">(4.44-0.24)/0.15</f>
        <v>28.000000000000004</v>
      </c>
      <c r="Q86">
        <v>29</v>
      </c>
    </row>
    <row r="87" spans="3:17" ht="30" x14ac:dyDescent="0.25">
      <c r="C87" s="95" t="s">
        <v>86</v>
      </c>
      <c r="D87" s="10" t="s">
        <v>15</v>
      </c>
      <c r="E87" s="37" t="s">
        <v>9</v>
      </c>
      <c r="F87" s="37" t="s">
        <v>627</v>
      </c>
      <c r="G87" s="38">
        <v>42.05</v>
      </c>
      <c r="H87" s="62">
        <v>1</v>
      </c>
      <c r="I87" s="107">
        <v>0</v>
      </c>
      <c r="J87" s="103">
        <f>17.5*(G87*4.44)+1.15*(7860*(T3*4.44*O87))*5+7860*P3*(2*(0.4+0.4)+2*0.1-8*0.025)*Q87*5</f>
        <v>3681.7151365614245</v>
      </c>
      <c r="L87" s="85">
        <f t="shared" si="6"/>
        <v>22.000000000000004</v>
      </c>
      <c r="M87" s="86">
        <v>23</v>
      </c>
      <c r="N87" s="85"/>
      <c r="O87" s="86">
        <f t="shared" si="7"/>
        <v>8</v>
      </c>
      <c r="P87">
        <f t="shared" si="8"/>
        <v>28.000000000000004</v>
      </c>
      <c r="Q87">
        <v>29</v>
      </c>
    </row>
    <row r="88" spans="3:17" ht="30" x14ac:dyDescent="0.25">
      <c r="C88" s="95" t="s">
        <v>87</v>
      </c>
      <c r="D88" s="10" t="s">
        <v>15</v>
      </c>
      <c r="E88" s="37" t="s">
        <v>9</v>
      </c>
      <c r="F88" s="37" t="s">
        <v>627</v>
      </c>
      <c r="G88" s="38">
        <v>56.07</v>
      </c>
      <c r="H88" s="62">
        <v>1</v>
      </c>
      <c r="I88" s="107">
        <v>0</v>
      </c>
      <c r="J88" s="103">
        <f>17.5*(G88*4.44-10.6*(4.44-3.6))+1.15*(7860*(T3*4.44*O88))*7+1.15*(7860*(T3*3.6*O88))*2+7860*P3*(2*(0.4+0.4)+2*0.1-8*0.025)*Q88*7+7860*P3*(2*(0.4+0.4)+2*0.1-8*0.025)*M88*1+7860*P3*(2*(0.55+0.4)+2*0.1-8*0.025)*M88*1</f>
        <v>4917.5078398441992</v>
      </c>
      <c r="L88" s="85">
        <f t="shared" si="6"/>
        <v>22.000000000000004</v>
      </c>
      <c r="M88" s="86">
        <v>23</v>
      </c>
      <c r="N88" s="85"/>
      <c r="O88" s="86">
        <f t="shared" si="7"/>
        <v>8</v>
      </c>
      <c r="P88">
        <f t="shared" si="8"/>
        <v>28.000000000000004</v>
      </c>
      <c r="Q88">
        <v>29</v>
      </c>
    </row>
    <row r="89" spans="3:17" ht="30" x14ac:dyDescent="0.25">
      <c r="C89" s="95" t="s">
        <v>122</v>
      </c>
      <c r="D89" s="10" t="s">
        <v>15</v>
      </c>
      <c r="E89" s="37" t="s">
        <v>9</v>
      </c>
      <c r="F89" s="37" t="s">
        <v>633</v>
      </c>
      <c r="G89" s="38">
        <v>26.4</v>
      </c>
      <c r="H89" s="62">
        <v>1</v>
      </c>
      <c r="I89" s="107">
        <v>0</v>
      </c>
      <c r="J89" s="103">
        <v>3800</v>
      </c>
      <c r="L89" s="78"/>
      <c r="M89" s="75"/>
      <c r="N89" s="78"/>
      <c r="O89" s="75"/>
    </row>
    <row r="90" spans="3:17" ht="30" x14ac:dyDescent="0.25">
      <c r="C90" s="95" t="s">
        <v>123</v>
      </c>
      <c r="D90" s="10" t="s">
        <v>15</v>
      </c>
      <c r="E90" s="37" t="s">
        <v>9</v>
      </c>
      <c r="F90" s="37" t="s">
        <v>633</v>
      </c>
      <c r="G90" s="38">
        <v>26.4</v>
      </c>
      <c r="H90" s="62">
        <v>1</v>
      </c>
      <c r="I90" s="107">
        <v>0</v>
      </c>
      <c r="J90" s="103">
        <v>3800</v>
      </c>
      <c r="L90" s="78"/>
      <c r="M90" s="75"/>
      <c r="N90" s="78"/>
      <c r="O90" s="75"/>
    </row>
    <row r="91" spans="3:17" x14ac:dyDescent="0.25">
      <c r="C91" s="95" t="s">
        <v>124</v>
      </c>
      <c r="D91" s="10" t="s">
        <v>15</v>
      </c>
      <c r="E91" s="37" t="s">
        <v>9</v>
      </c>
      <c r="F91" s="10" t="s">
        <v>65</v>
      </c>
      <c r="G91" s="38">
        <v>6.95</v>
      </c>
      <c r="H91" s="62">
        <v>1</v>
      </c>
      <c r="I91" s="107">
        <v>0</v>
      </c>
      <c r="J91" s="103">
        <f>11.5*(G91*4.44-5.25*2.49)</f>
        <v>204.53325000000004</v>
      </c>
      <c r="L91" s="78"/>
      <c r="M91" s="75"/>
      <c r="N91" s="78"/>
      <c r="O91" s="75"/>
    </row>
    <row r="92" spans="3:17" x14ac:dyDescent="0.25">
      <c r="C92" s="95" t="s">
        <v>399</v>
      </c>
      <c r="D92" s="10" t="s">
        <v>15</v>
      </c>
      <c r="E92" s="37" t="s">
        <v>9</v>
      </c>
      <c r="F92" s="10" t="s">
        <v>16</v>
      </c>
      <c r="G92" s="38">
        <v>4.88</v>
      </c>
      <c r="H92" s="62">
        <v>1</v>
      </c>
      <c r="I92" s="107">
        <v>0</v>
      </c>
      <c r="J92" s="103">
        <f>11.5*(G92*4.44-1.02*2.43)</f>
        <v>220.66890000000001</v>
      </c>
      <c r="L92" s="78"/>
      <c r="M92" s="75"/>
      <c r="N92" s="78"/>
      <c r="O92" s="75"/>
    </row>
    <row r="93" spans="3:17" x14ac:dyDescent="0.25">
      <c r="C93" s="145"/>
      <c r="D93" s="146"/>
      <c r="E93" s="146"/>
      <c r="F93" s="146"/>
      <c r="G93" s="146"/>
      <c r="H93" s="147"/>
      <c r="I93" s="70"/>
      <c r="J93" s="71"/>
      <c r="L93" s="78"/>
      <c r="M93" s="75"/>
      <c r="N93" s="78"/>
      <c r="O93" s="75"/>
    </row>
    <row r="94" spans="3:17" x14ac:dyDescent="0.25">
      <c r="C94" s="9" t="s">
        <v>57</v>
      </c>
      <c r="D94" s="10" t="s">
        <v>17</v>
      </c>
      <c r="E94" s="37" t="s">
        <v>9</v>
      </c>
      <c r="F94" s="10" t="s">
        <v>60</v>
      </c>
      <c r="G94" s="38" t="s">
        <v>8</v>
      </c>
      <c r="H94" s="62">
        <v>1</v>
      </c>
      <c r="I94" s="70">
        <v>0</v>
      </c>
      <c r="J94" s="71">
        <f>1.15*(4962+4962+188)</f>
        <v>11628.8</v>
      </c>
      <c r="L94" s="78"/>
      <c r="M94" s="75"/>
      <c r="N94" s="78"/>
      <c r="O94" s="75"/>
    </row>
    <row r="95" spans="3:17" x14ac:dyDescent="0.25">
      <c r="C95" s="95" t="s">
        <v>58</v>
      </c>
      <c r="D95" s="10" t="s">
        <v>17</v>
      </c>
      <c r="E95" s="37" t="s">
        <v>9</v>
      </c>
      <c r="F95" s="10" t="s">
        <v>60</v>
      </c>
      <c r="G95" s="38" t="s">
        <v>8</v>
      </c>
      <c r="H95" s="62">
        <v>1</v>
      </c>
      <c r="I95" s="107">
        <v>0</v>
      </c>
      <c r="J95" s="103">
        <f>18.7*1257.841</f>
        <v>23521.626699999997</v>
      </c>
      <c r="L95" s="78"/>
      <c r="M95" s="75"/>
      <c r="N95" s="78"/>
      <c r="O95" s="75"/>
    </row>
    <row r="96" spans="3:17" x14ac:dyDescent="0.25">
      <c r="C96" s="95" t="s">
        <v>59</v>
      </c>
      <c r="D96" s="10" t="s">
        <v>17</v>
      </c>
      <c r="E96" s="37" t="s">
        <v>9</v>
      </c>
      <c r="F96" s="10" t="s">
        <v>65</v>
      </c>
      <c r="G96" s="38" t="s">
        <v>8</v>
      </c>
      <c r="H96" s="62">
        <v>1</v>
      </c>
      <c r="I96" s="107">
        <v>0</v>
      </c>
      <c r="J96" s="103">
        <f>24*384.197</f>
        <v>9220.7279999999992</v>
      </c>
      <c r="L96" s="78"/>
      <c r="M96" s="75"/>
      <c r="N96" s="78"/>
      <c r="O96" s="75"/>
    </row>
    <row r="97" spans="3:23" x14ac:dyDescent="0.25">
      <c r="C97" s="145"/>
      <c r="D97" s="146"/>
      <c r="E97" s="146"/>
      <c r="F97" s="146"/>
      <c r="G97" s="146"/>
      <c r="H97" s="147"/>
      <c r="I97" s="70"/>
      <c r="J97" s="71"/>
      <c r="L97" s="78"/>
      <c r="M97" s="75"/>
      <c r="N97" s="78"/>
      <c r="O97" s="75"/>
    </row>
    <row r="98" spans="3:23" ht="30" x14ac:dyDescent="0.25">
      <c r="C98" s="9" t="s">
        <v>54</v>
      </c>
      <c r="D98" s="10" t="s">
        <v>56</v>
      </c>
      <c r="E98" s="37" t="s">
        <v>9</v>
      </c>
      <c r="F98" s="37" t="s">
        <v>271</v>
      </c>
      <c r="G98" s="38" t="s">
        <v>8</v>
      </c>
      <c r="H98" s="62">
        <v>1</v>
      </c>
      <c r="I98" s="70">
        <f>7860*(O3*(1.32-2*0.025)*M98)*2+7860*(O3*(1.32-2*0.025)*(Q98+S98))*1.5+7860*(O3*(0.78-2*0.025)*U98)*2</f>
        <v>20.96910271943635</v>
      </c>
      <c r="J98" s="71">
        <f>1.15*(7860*(Q3*0.82*O98))*2+1.15*(7860*(Q3*(3.94+4.18)*O98))*1.5+1.15*(7860*(R3*2.64*W98))*2</f>
        <v>144.72173689698562</v>
      </c>
      <c r="L98" s="85">
        <f>(0.82)/0.25</f>
        <v>3.28</v>
      </c>
      <c r="M98" s="86">
        <v>4</v>
      </c>
      <c r="N98" s="85">
        <f>(1.32-2*0.025)/0.12</f>
        <v>10.583333333333334</v>
      </c>
      <c r="O98" s="86">
        <v>12</v>
      </c>
      <c r="P98" s="6">
        <f>3.94/0.25</f>
        <v>15.76</v>
      </c>
      <c r="Q98" s="6">
        <v>17</v>
      </c>
      <c r="R98" s="6">
        <f>4.18/0.25</f>
        <v>16.72</v>
      </c>
      <c r="S98" s="6">
        <v>18</v>
      </c>
      <c r="T98" s="6">
        <f>(2.64-2*0.025)/0.25</f>
        <v>10.360000000000001</v>
      </c>
      <c r="U98" s="6">
        <v>12</v>
      </c>
      <c r="V98">
        <f>(0.78-2*0.025)/0.2</f>
        <v>3.65</v>
      </c>
      <c r="W98">
        <v>5</v>
      </c>
    </row>
    <row r="99" spans="3:23" ht="30" x14ac:dyDescent="0.25">
      <c r="C99" s="9" t="s">
        <v>55</v>
      </c>
      <c r="D99" s="10" t="s">
        <v>56</v>
      </c>
      <c r="E99" s="37" t="s">
        <v>9</v>
      </c>
      <c r="F99" s="37" t="s">
        <v>626</v>
      </c>
      <c r="G99" s="38" t="s">
        <v>8</v>
      </c>
      <c r="H99" s="62">
        <v>1</v>
      </c>
      <c r="I99" s="70">
        <f>7860*(O3*(1.1-2*0.025)*M99)*2+7860*(O3*(1.1-2*0.025)*(Q99+S99))*1.5</f>
        <v>15.867669272086859</v>
      </c>
      <c r="J99" s="71">
        <f>1.15*(7860*(R3*0.8*O99))*2+1.15*(7860*(R3*(4.05+5.19)*O99))*1.5</f>
        <v>158.04554173021415</v>
      </c>
      <c r="K99" s="7"/>
      <c r="L99" s="85">
        <f>(0.8)/0.25</f>
        <v>3.2</v>
      </c>
      <c r="M99" s="86">
        <v>4</v>
      </c>
      <c r="N99" s="85">
        <f>(1.1-2*0.025)/0.12</f>
        <v>8.75</v>
      </c>
      <c r="O99" s="86">
        <v>10</v>
      </c>
      <c r="P99" s="6">
        <f>4.05/0.25</f>
        <v>16.2</v>
      </c>
      <c r="Q99" s="6">
        <v>18</v>
      </c>
      <c r="R99" s="6">
        <f>5.19/0.25</f>
        <v>20.76</v>
      </c>
      <c r="S99" s="6">
        <v>22</v>
      </c>
      <c r="T99" s="6"/>
      <c r="U99" s="6"/>
    </row>
    <row r="100" spans="3:23" x14ac:dyDescent="0.25">
      <c r="C100" s="9" t="s">
        <v>61</v>
      </c>
      <c r="D100" s="10" t="s">
        <v>63</v>
      </c>
      <c r="E100" s="37" t="s">
        <v>9</v>
      </c>
      <c r="F100" s="10" t="s">
        <v>190</v>
      </c>
      <c r="G100" s="38">
        <v>3.14</v>
      </c>
      <c r="H100" s="111">
        <v>1</v>
      </c>
      <c r="I100" s="70">
        <f>7860*O3*(2*(0.24+0.38)+2*0.1-8*0.025)*M100</f>
        <v>5.2358863872600327</v>
      </c>
      <c r="J100" s="71">
        <f>1.15*(7860*(T3*G100*O100))+1.15*(7860*(R3*G100*Q100))</f>
        <v>17.833225565361232</v>
      </c>
      <c r="L100" s="85">
        <f>(G100-2*0.25)/0.15</f>
        <v>17.600000000000001</v>
      </c>
      <c r="M100" s="86">
        <v>19</v>
      </c>
      <c r="N100" s="85"/>
      <c r="O100" s="86">
        <f>2</f>
        <v>2</v>
      </c>
      <c r="P100" s="6"/>
      <c r="Q100" s="6">
        <f>2</f>
        <v>2</v>
      </c>
      <c r="R100" s="6"/>
      <c r="S100" s="6"/>
      <c r="T100" s="6"/>
      <c r="U100" s="6"/>
    </row>
    <row r="101" spans="3:23" x14ac:dyDescent="0.25">
      <c r="C101" s="9" t="s">
        <v>62</v>
      </c>
      <c r="D101" s="10" t="s">
        <v>63</v>
      </c>
      <c r="E101" s="37" t="s">
        <v>9</v>
      </c>
      <c r="F101" s="10" t="s">
        <v>191</v>
      </c>
      <c r="G101" s="101">
        <v>2.64</v>
      </c>
      <c r="H101" s="111">
        <v>1</v>
      </c>
      <c r="I101" s="70">
        <f>7860*O3*(2*(0.54+0.2)+2*0.1-6*0.025)*M101*2</f>
        <v>12.920816407270724</v>
      </c>
      <c r="J101" s="71">
        <f>1.15*(7860*(R3*G101*O101))</f>
        <v>29.687209132247208</v>
      </c>
      <c r="L101" s="85">
        <f>(G101)/0.15</f>
        <v>17.600000000000001</v>
      </c>
      <c r="M101" s="86">
        <v>19</v>
      </c>
      <c r="N101" s="85"/>
      <c r="O101" s="86">
        <f>4+7</f>
        <v>11</v>
      </c>
      <c r="P101" s="6"/>
      <c r="Q101" s="6"/>
      <c r="R101" s="6"/>
      <c r="S101" s="6"/>
      <c r="T101" s="6"/>
      <c r="U101" s="6"/>
    </row>
    <row r="102" spans="3:23" x14ac:dyDescent="0.25">
      <c r="C102" s="148"/>
      <c r="D102" s="149"/>
      <c r="E102" s="149"/>
      <c r="F102" s="149"/>
      <c r="G102" s="149"/>
      <c r="H102" s="149"/>
      <c r="I102" s="70"/>
      <c r="J102" s="71"/>
      <c r="L102" s="78"/>
      <c r="M102" s="75"/>
      <c r="N102" s="78"/>
      <c r="O102" s="75"/>
    </row>
    <row r="103" spans="3:23" ht="45" x14ac:dyDescent="0.25">
      <c r="C103" s="41" t="s">
        <v>448</v>
      </c>
      <c r="D103" s="10" t="s">
        <v>444</v>
      </c>
      <c r="E103" s="37" t="s">
        <v>445</v>
      </c>
      <c r="F103" s="37" t="s">
        <v>456</v>
      </c>
      <c r="G103" s="38">
        <v>1.83</v>
      </c>
      <c r="H103" s="111">
        <v>1</v>
      </c>
      <c r="I103" s="70"/>
      <c r="J103" s="71"/>
      <c r="L103" s="78"/>
      <c r="M103" s="75"/>
      <c r="N103" s="78"/>
      <c r="O103" s="75"/>
    </row>
    <row r="104" spans="3:23" ht="45.75" thickBot="1" x14ac:dyDescent="0.3">
      <c r="C104" s="58" t="s">
        <v>452</v>
      </c>
      <c r="D104" s="43" t="s">
        <v>455</v>
      </c>
      <c r="E104" s="43" t="s">
        <v>445</v>
      </c>
      <c r="F104" s="43" t="s">
        <v>457</v>
      </c>
      <c r="G104" s="44" t="s">
        <v>8</v>
      </c>
      <c r="H104" s="112">
        <v>1</v>
      </c>
      <c r="I104" s="72"/>
      <c r="J104" s="73"/>
      <c r="L104" s="81"/>
      <c r="M104" s="82"/>
      <c r="N104" s="81"/>
      <c r="O104" s="82"/>
    </row>
    <row r="105" spans="3:23" ht="15.75" thickBot="1" x14ac:dyDescent="0.3">
      <c r="C105" s="126" t="s">
        <v>648</v>
      </c>
      <c r="D105" s="126"/>
      <c r="E105" s="126"/>
      <c r="F105" s="126"/>
      <c r="G105" s="126"/>
      <c r="H105" s="126"/>
      <c r="I105" s="113">
        <f>SUM(I6:I104)</f>
        <v>2876.6058336350466</v>
      </c>
      <c r="J105" s="114">
        <f>SUM(J6:J104)</f>
        <v>98169.349903332608</v>
      </c>
    </row>
    <row r="112" spans="3:23" x14ac:dyDescent="0.25">
      <c r="F112" s="34"/>
    </row>
  </sheetData>
  <mergeCells count="15">
    <mergeCell ref="I3:J3"/>
    <mergeCell ref="C105:H105"/>
    <mergeCell ref="C3:H3"/>
    <mergeCell ref="C29:C30"/>
    <mergeCell ref="D29:D30"/>
    <mergeCell ref="E29:E30"/>
    <mergeCell ref="H29:H30"/>
    <mergeCell ref="C5:H5"/>
    <mergeCell ref="C7:H7"/>
    <mergeCell ref="C51:H51"/>
    <mergeCell ref="C60:H60"/>
    <mergeCell ref="C69:H69"/>
    <mergeCell ref="C102:H102"/>
    <mergeCell ref="C93:H93"/>
    <mergeCell ref="C97:H97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756CD-3F50-42F7-BAB6-4C3F5F3C9FA0}">
  <dimension ref="B1:W133"/>
  <sheetViews>
    <sheetView topLeftCell="B69" workbookViewId="0">
      <selection activeCell="J95" sqref="J95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28515625" customWidth="1"/>
  </cols>
  <sheetData>
    <row r="1" spans="2:22" ht="15.75" thickBot="1" x14ac:dyDescent="0.3">
      <c r="B1" s="8"/>
      <c r="C1" s="8"/>
      <c r="D1" s="8"/>
      <c r="E1" s="8"/>
      <c r="F1" s="8"/>
      <c r="G1" s="8"/>
      <c r="H1" s="8"/>
    </row>
    <row r="2" spans="2:22" ht="15.75" customHeight="1" thickBot="1" x14ac:dyDescent="0.3">
      <c r="B2" s="8"/>
      <c r="C2" s="152" t="s">
        <v>3</v>
      </c>
      <c r="D2" s="153"/>
      <c r="E2" s="153"/>
      <c r="F2" s="153"/>
      <c r="G2" s="153"/>
      <c r="H2" s="154"/>
      <c r="L2" s="2" t="s">
        <v>12</v>
      </c>
      <c r="O2" s="67" t="str">
        <f>F!O2</f>
        <v>6 [m2]</v>
      </c>
      <c r="P2" s="67" t="str">
        <f>F!P2</f>
        <v>8 [m2]</v>
      </c>
      <c r="Q2" s="67" t="str">
        <f>F!Q2</f>
        <v>10 [m2]</v>
      </c>
      <c r="R2" s="67" t="str">
        <f>F!R2</f>
        <v>12 [m2]</v>
      </c>
      <c r="S2" s="67" t="str">
        <f>F!S2</f>
        <v>14 [m2]</v>
      </c>
      <c r="T2" s="67" t="str">
        <f>F!T2</f>
        <v>16 [m2]</v>
      </c>
      <c r="U2" s="67" t="str">
        <f>F!U2</f>
        <v>20 [m2]</v>
      </c>
      <c r="V2" s="67" t="str">
        <f>F!V2</f>
        <v>24 [m2]</v>
      </c>
    </row>
    <row r="3" spans="2:22" ht="30" customHeight="1" x14ac:dyDescent="0.25">
      <c r="B3" s="8"/>
      <c r="C3" s="22" t="s">
        <v>125</v>
      </c>
      <c r="D3" s="23" t="s">
        <v>10</v>
      </c>
      <c r="E3" s="24" t="s">
        <v>9</v>
      </c>
      <c r="F3" s="23" t="s">
        <v>89</v>
      </c>
      <c r="G3" s="25">
        <v>3.84</v>
      </c>
      <c r="H3" s="26">
        <v>1</v>
      </c>
      <c r="I3" s="1"/>
      <c r="J3" s="1"/>
      <c r="K3" s="1"/>
      <c r="L3" s="4"/>
      <c r="O3" s="67">
        <f>F!O3</f>
        <v>2.8274333882308137E-5</v>
      </c>
      <c r="P3" s="67">
        <f>F!P3</f>
        <v>5.0265482457436686E-5</v>
      </c>
      <c r="Q3" s="67">
        <f>F!Q3</f>
        <v>7.8539816339744827E-5</v>
      </c>
      <c r="R3" s="67">
        <f>F!R3</f>
        <v>1.1309733552923255E-4</v>
      </c>
      <c r="S3" s="67">
        <f>F!S3</f>
        <v>1.5393804002589989E-4</v>
      </c>
      <c r="T3" s="67">
        <f>F!T3</f>
        <v>2.0106192982974675E-4</v>
      </c>
      <c r="U3" s="67">
        <f>F!U3</f>
        <v>3.1415926535897931E-4</v>
      </c>
      <c r="V3" s="67">
        <f>F!V3</f>
        <v>4.523893421169302E-4</v>
      </c>
    </row>
    <row r="4" spans="2:22" ht="15" customHeight="1" x14ac:dyDescent="0.25">
      <c r="B4" s="8"/>
      <c r="C4" s="22" t="s">
        <v>126</v>
      </c>
      <c r="D4" s="23" t="s">
        <v>10</v>
      </c>
      <c r="E4" s="24" t="s">
        <v>9</v>
      </c>
      <c r="F4" s="23" t="s">
        <v>89</v>
      </c>
      <c r="G4" s="25">
        <v>3.84</v>
      </c>
      <c r="H4" s="26">
        <v>1</v>
      </c>
    </row>
    <row r="5" spans="2:22" ht="15" customHeight="1" x14ac:dyDescent="0.25">
      <c r="B5" s="8"/>
      <c r="C5" s="22" t="s">
        <v>127</v>
      </c>
      <c r="D5" s="23" t="s">
        <v>10</v>
      </c>
      <c r="E5" s="24" t="s">
        <v>9</v>
      </c>
      <c r="F5" s="23" t="s">
        <v>89</v>
      </c>
      <c r="G5" s="25">
        <v>3.84</v>
      </c>
      <c r="H5" s="26">
        <v>1</v>
      </c>
    </row>
    <row r="6" spans="2:22" ht="15" customHeight="1" x14ac:dyDescent="0.25">
      <c r="B6" s="8"/>
      <c r="C6" s="22" t="s">
        <v>128</v>
      </c>
      <c r="D6" s="23" t="s">
        <v>10</v>
      </c>
      <c r="E6" s="24" t="s">
        <v>9</v>
      </c>
      <c r="F6" s="23" t="s">
        <v>89</v>
      </c>
      <c r="G6" s="25">
        <v>3.84</v>
      </c>
      <c r="H6" s="26">
        <v>1</v>
      </c>
    </row>
    <row r="7" spans="2:22" ht="15" customHeight="1" x14ac:dyDescent="0.25">
      <c r="B7" s="8"/>
      <c r="C7" s="22" t="s">
        <v>129</v>
      </c>
      <c r="D7" s="23" t="s">
        <v>10</v>
      </c>
      <c r="E7" s="24" t="s">
        <v>9</v>
      </c>
      <c r="F7" s="23" t="s">
        <v>89</v>
      </c>
      <c r="G7" s="25">
        <v>3.84</v>
      </c>
      <c r="H7" s="26">
        <v>1</v>
      </c>
    </row>
    <row r="8" spans="2:22" ht="15" customHeight="1" x14ac:dyDescent="0.25">
      <c r="B8" s="8"/>
      <c r="C8" s="22" t="s">
        <v>130</v>
      </c>
      <c r="D8" s="23" t="s">
        <v>10</v>
      </c>
      <c r="E8" s="24" t="s">
        <v>9</v>
      </c>
      <c r="F8" s="23" t="s">
        <v>89</v>
      </c>
      <c r="G8" s="25">
        <v>3.84</v>
      </c>
      <c r="H8" s="26">
        <v>1</v>
      </c>
    </row>
    <row r="9" spans="2:22" ht="15" customHeight="1" x14ac:dyDescent="0.25">
      <c r="B9" s="8"/>
      <c r="C9" s="22" t="s">
        <v>131</v>
      </c>
      <c r="D9" s="23" t="s">
        <v>10</v>
      </c>
      <c r="E9" s="24" t="s">
        <v>9</v>
      </c>
      <c r="F9" s="23" t="s">
        <v>89</v>
      </c>
      <c r="G9" s="25">
        <v>3.84</v>
      </c>
      <c r="H9" s="26">
        <v>1</v>
      </c>
    </row>
    <row r="10" spans="2:22" ht="15" customHeight="1" x14ac:dyDescent="0.25">
      <c r="B10" s="8"/>
      <c r="C10" s="22" t="s">
        <v>132</v>
      </c>
      <c r="D10" s="23" t="s">
        <v>10</v>
      </c>
      <c r="E10" s="24" t="s">
        <v>9</v>
      </c>
      <c r="F10" s="23" t="s">
        <v>89</v>
      </c>
      <c r="G10" s="25">
        <v>3.84</v>
      </c>
      <c r="H10" s="26">
        <v>1</v>
      </c>
    </row>
    <row r="11" spans="2:22" ht="15" customHeight="1" x14ac:dyDescent="0.25">
      <c r="B11" s="8"/>
      <c r="C11" s="22" t="s">
        <v>133</v>
      </c>
      <c r="D11" s="23" t="s">
        <v>10</v>
      </c>
      <c r="E11" s="24" t="s">
        <v>9</v>
      </c>
      <c r="F11" s="23" t="s">
        <v>89</v>
      </c>
      <c r="G11" s="25">
        <v>3.84</v>
      </c>
      <c r="H11" s="26">
        <v>1</v>
      </c>
    </row>
    <row r="12" spans="2:22" ht="15" customHeight="1" x14ac:dyDescent="0.25">
      <c r="B12" s="8"/>
      <c r="C12" s="22" t="s">
        <v>134</v>
      </c>
      <c r="D12" s="23" t="s">
        <v>10</v>
      </c>
      <c r="E12" s="24" t="s">
        <v>9</v>
      </c>
      <c r="F12" s="23" t="s">
        <v>89</v>
      </c>
      <c r="G12" s="25">
        <v>3.84</v>
      </c>
      <c r="H12" s="26">
        <v>1</v>
      </c>
      <c r="L12" t="s">
        <v>151</v>
      </c>
    </row>
    <row r="13" spans="2:22" ht="15" customHeight="1" x14ac:dyDescent="0.25">
      <c r="B13" s="8"/>
      <c r="C13" s="22" t="s">
        <v>136</v>
      </c>
      <c r="D13" s="23" t="s">
        <v>10</v>
      </c>
      <c r="E13" s="24" t="s">
        <v>9</v>
      </c>
      <c r="F13" s="23" t="s">
        <v>89</v>
      </c>
      <c r="G13" s="25">
        <v>3.84</v>
      </c>
      <c r="H13" s="26">
        <v>1</v>
      </c>
    </row>
    <row r="14" spans="2:22" ht="15" customHeight="1" x14ac:dyDescent="0.25">
      <c r="B14" s="8"/>
      <c r="C14" s="22" t="s">
        <v>135</v>
      </c>
      <c r="D14" s="23" t="s">
        <v>10</v>
      </c>
      <c r="E14" s="24" t="s">
        <v>9</v>
      </c>
      <c r="F14" s="23" t="s">
        <v>89</v>
      </c>
      <c r="G14" s="25">
        <v>3.84</v>
      </c>
      <c r="H14" s="26">
        <v>1</v>
      </c>
    </row>
    <row r="15" spans="2:22" ht="15" customHeight="1" x14ac:dyDescent="0.25">
      <c r="B15" s="8"/>
      <c r="C15" s="22" t="s">
        <v>137</v>
      </c>
      <c r="D15" s="23" t="s">
        <v>10</v>
      </c>
      <c r="E15" s="24" t="s">
        <v>9</v>
      </c>
      <c r="F15" s="23" t="s">
        <v>89</v>
      </c>
      <c r="G15" s="25">
        <v>3.84</v>
      </c>
      <c r="H15" s="26">
        <v>1</v>
      </c>
    </row>
    <row r="16" spans="2:22" ht="15" customHeight="1" x14ac:dyDescent="0.25">
      <c r="B16" s="8"/>
      <c r="C16" s="22" t="s">
        <v>138</v>
      </c>
      <c r="D16" s="23" t="s">
        <v>10</v>
      </c>
      <c r="E16" s="24" t="s">
        <v>9</v>
      </c>
      <c r="F16" s="23" t="s">
        <v>89</v>
      </c>
      <c r="G16" s="25">
        <v>3.84</v>
      </c>
      <c r="H16" s="26">
        <v>1</v>
      </c>
    </row>
    <row r="17" spans="2:12" x14ac:dyDescent="0.25">
      <c r="B17" s="8"/>
      <c r="C17" s="22" t="s">
        <v>139</v>
      </c>
      <c r="D17" s="23" t="s">
        <v>10</v>
      </c>
      <c r="E17" s="24" t="s">
        <v>9</v>
      </c>
      <c r="F17" s="23" t="s">
        <v>89</v>
      </c>
      <c r="G17" s="25">
        <v>3.84</v>
      </c>
      <c r="H17" s="26">
        <v>1</v>
      </c>
    </row>
    <row r="18" spans="2:12" x14ac:dyDescent="0.25">
      <c r="B18" s="8"/>
      <c r="C18" s="22" t="s">
        <v>140</v>
      </c>
      <c r="D18" s="23" t="s">
        <v>10</v>
      </c>
      <c r="E18" s="24" t="s">
        <v>9</v>
      </c>
      <c r="F18" s="23" t="s">
        <v>89</v>
      </c>
      <c r="G18" s="25">
        <v>3.84</v>
      </c>
      <c r="H18" s="26">
        <v>1</v>
      </c>
    </row>
    <row r="19" spans="2:12" x14ac:dyDescent="0.25">
      <c r="B19" s="8"/>
      <c r="C19" s="22" t="s">
        <v>141</v>
      </c>
      <c r="D19" s="23" t="s">
        <v>10</v>
      </c>
      <c r="E19" s="24" t="s">
        <v>9</v>
      </c>
      <c r="F19" s="23" t="s">
        <v>89</v>
      </c>
      <c r="G19" s="25">
        <v>3.84</v>
      </c>
      <c r="H19" s="26">
        <v>1</v>
      </c>
    </row>
    <row r="20" spans="2:12" x14ac:dyDescent="0.25">
      <c r="B20" s="8"/>
      <c r="C20" s="22" t="s">
        <v>142</v>
      </c>
      <c r="D20" s="23" t="s">
        <v>10</v>
      </c>
      <c r="E20" s="24" t="s">
        <v>9</v>
      </c>
      <c r="F20" s="23" t="s">
        <v>89</v>
      </c>
      <c r="G20" s="25">
        <v>3.84</v>
      </c>
      <c r="H20" s="26">
        <v>1</v>
      </c>
    </row>
    <row r="21" spans="2:12" x14ac:dyDescent="0.25">
      <c r="B21" s="8"/>
      <c r="C21" s="22" t="s">
        <v>143</v>
      </c>
      <c r="D21" s="23" t="s">
        <v>10</v>
      </c>
      <c r="E21" s="24" t="s">
        <v>9</v>
      </c>
      <c r="F21" s="23" t="s">
        <v>89</v>
      </c>
      <c r="G21" s="25">
        <v>3.84</v>
      </c>
      <c r="H21" s="26">
        <v>1</v>
      </c>
    </row>
    <row r="22" spans="2:12" x14ac:dyDescent="0.25">
      <c r="B22" s="8"/>
      <c r="C22" s="22" t="s">
        <v>144</v>
      </c>
      <c r="D22" s="23" t="s">
        <v>10</v>
      </c>
      <c r="E22" s="24" t="s">
        <v>9</v>
      </c>
      <c r="F22" s="23" t="s">
        <v>89</v>
      </c>
      <c r="G22" s="25">
        <v>3.84</v>
      </c>
      <c r="H22" s="26">
        <v>1</v>
      </c>
    </row>
    <row r="23" spans="2:12" x14ac:dyDescent="0.25">
      <c r="B23" s="8"/>
      <c r="C23" s="22" t="s">
        <v>145</v>
      </c>
      <c r="D23" s="23" t="s">
        <v>10</v>
      </c>
      <c r="E23" s="24" t="s">
        <v>9</v>
      </c>
      <c r="F23" s="23" t="s">
        <v>89</v>
      </c>
      <c r="G23" s="25">
        <v>3.84</v>
      </c>
      <c r="H23" s="26">
        <v>1</v>
      </c>
    </row>
    <row r="24" spans="2:12" x14ac:dyDescent="0.25">
      <c r="B24" s="8"/>
      <c r="C24" s="22" t="s">
        <v>146</v>
      </c>
      <c r="D24" s="23" t="s">
        <v>10</v>
      </c>
      <c r="E24" s="24" t="s">
        <v>9</v>
      </c>
      <c r="F24" s="23" t="s">
        <v>89</v>
      </c>
      <c r="G24" s="25">
        <v>3.84</v>
      </c>
      <c r="H24" s="26">
        <v>1</v>
      </c>
    </row>
    <row r="25" spans="2:12" x14ac:dyDescent="0.25">
      <c r="B25" s="8"/>
      <c r="C25" s="22" t="s">
        <v>147</v>
      </c>
      <c r="D25" s="23" t="s">
        <v>10</v>
      </c>
      <c r="E25" s="24" t="s">
        <v>9</v>
      </c>
      <c r="F25" s="23" t="s">
        <v>89</v>
      </c>
      <c r="G25" s="25">
        <v>3.84</v>
      </c>
      <c r="H25" s="26">
        <v>1</v>
      </c>
    </row>
    <row r="26" spans="2:12" x14ac:dyDescent="0.25">
      <c r="B26" s="8"/>
      <c r="C26" s="22" t="s">
        <v>148</v>
      </c>
      <c r="D26" s="23" t="s">
        <v>10</v>
      </c>
      <c r="E26" s="24" t="s">
        <v>9</v>
      </c>
      <c r="F26" s="23" t="s">
        <v>89</v>
      </c>
      <c r="G26" s="25">
        <v>3.84</v>
      </c>
      <c r="H26" s="26">
        <v>1</v>
      </c>
    </row>
    <row r="27" spans="2:12" x14ac:dyDescent="0.25">
      <c r="B27" s="8"/>
      <c r="C27" s="22" t="s">
        <v>149</v>
      </c>
      <c r="D27" s="23" t="s">
        <v>10</v>
      </c>
      <c r="E27" s="24" t="s">
        <v>9</v>
      </c>
      <c r="F27" s="23" t="s">
        <v>89</v>
      </c>
      <c r="G27" s="25">
        <v>3.84</v>
      </c>
      <c r="H27" s="26">
        <v>1</v>
      </c>
    </row>
    <row r="28" spans="2:12" ht="15.75" thickBot="1" x14ac:dyDescent="0.3">
      <c r="B28" s="8"/>
      <c r="C28" s="27" t="s">
        <v>150</v>
      </c>
      <c r="D28" s="28" t="s">
        <v>10</v>
      </c>
      <c r="E28" s="29" t="s">
        <v>9</v>
      </c>
      <c r="F28" s="28" t="s">
        <v>89</v>
      </c>
      <c r="G28" s="30">
        <v>3.84</v>
      </c>
      <c r="H28" s="31">
        <v>1</v>
      </c>
    </row>
    <row r="29" spans="2:12" x14ac:dyDescent="0.25">
      <c r="B29" s="8"/>
      <c r="C29" s="32"/>
      <c r="D29" s="33"/>
      <c r="E29" s="34"/>
      <c r="F29" s="33"/>
      <c r="G29" s="35"/>
      <c r="H29" s="32"/>
    </row>
    <row r="30" spans="2:12" x14ac:dyDescent="0.25">
      <c r="B30" s="8"/>
      <c r="C30" s="32"/>
      <c r="D30" s="33"/>
      <c r="E30" s="34"/>
      <c r="F30" s="33"/>
      <c r="G30" s="35"/>
      <c r="H30" s="32"/>
    </row>
    <row r="31" spans="2:12" ht="15.75" thickBot="1" x14ac:dyDescent="0.3">
      <c r="B31" s="8"/>
      <c r="C31" s="32"/>
      <c r="D31" s="33"/>
      <c r="E31" s="34"/>
      <c r="F31" s="33"/>
      <c r="G31" s="35"/>
      <c r="H31" s="32"/>
    </row>
    <row r="32" spans="2:12" ht="15.75" thickBot="1" x14ac:dyDescent="0.3">
      <c r="B32" s="8"/>
      <c r="C32" s="131" t="s">
        <v>3</v>
      </c>
      <c r="D32" s="132"/>
      <c r="E32" s="132"/>
      <c r="F32" s="132"/>
      <c r="G32" s="132"/>
      <c r="H32" s="135"/>
      <c r="I32" s="124" t="s">
        <v>647</v>
      </c>
      <c r="J32" s="125"/>
      <c r="L32" s="2" t="s">
        <v>12</v>
      </c>
    </row>
    <row r="33" spans="2:23" ht="26.25" thickBot="1" x14ac:dyDescent="0.3">
      <c r="B33" s="8"/>
      <c r="C33" s="45" t="s">
        <v>2</v>
      </c>
      <c r="D33" s="46" t="s">
        <v>0</v>
      </c>
      <c r="E33" s="47" t="s">
        <v>4</v>
      </c>
      <c r="F33" s="47" t="s">
        <v>5</v>
      </c>
      <c r="G33" s="47" t="s">
        <v>1</v>
      </c>
      <c r="H33" s="48" t="s">
        <v>6</v>
      </c>
      <c r="I33" s="98" t="s">
        <v>649</v>
      </c>
      <c r="J33" s="99" t="s">
        <v>650</v>
      </c>
      <c r="L33" s="2"/>
    </row>
    <row r="34" spans="2:23" x14ac:dyDescent="0.25">
      <c r="B34" s="8"/>
      <c r="C34" s="133"/>
      <c r="D34" s="134"/>
      <c r="E34" s="134"/>
      <c r="F34" s="134"/>
      <c r="G34" s="134"/>
      <c r="H34" s="134"/>
      <c r="I34" s="68"/>
      <c r="J34" s="69"/>
    </row>
    <row r="35" spans="2:23" ht="30" x14ac:dyDescent="0.25">
      <c r="B35" s="8"/>
      <c r="C35" s="14" t="s">
        <v>164</v>
      </c>
      <c r="D35" s="50" t="s">
        <v>165</v>
      </c>
      <c r="E35" s="11" t="s">
        <v>8</v>
      </c>
      <c r="F35" s="10" t="s">
        <v>269</v>
      </c>
      <c r="G35" s="15">
        <v>2.2999999999999998</v>
      </c>
      <c r="H35" s="110">
        <v>2</v>
      </c>
      <c r="I35" s="70"/>
      <c r="J35" s="71"/>
      <c r="L35" s="83"/>
      <c r="M35" s="84"/>
      <c r="N35" s="83"/>
      <c r="O35" s="84"/>
    </row>
    <row r="36" spans="2:23" ht="30" x14ac:dyDescent="0.25">
      <c r="B36" s="8"/>
      <c r="C36" s="14" t="s">
        <v>166</v>
      </c>
      <c r="D36" s="50" t="s">
        <v>165</v>
      </c>
      <c r="E36" s="11" t="s">
        <v>8</v>
      </c>
      <c r="F36" s="10" t="s">
        <v>269</v>
      </c>
      <c r="G36" s="15">
        <v>1.4</v>
      </c>
      <c r="H36" s="110">
        <v>1</v>
      </c>
      <c r="I36" s="70"/>
      <c r="J36" s="71"/>
      <c r="L36" s="78"/>
      <c r="M36" s="75"/>
      <c r="N36" s="78"/>
      <c r="O36" s="75"/>
    </row>
    <row r="37" spans="2:23" ht="30" x14ac:dyDescent="0.25">
      <c r="B37" s="8"/>
      <c r="C37" s="14" t="s">
        <v>167</v>
      </c>
      <c r="D37" s="50" t="s">
        <v>165</v>
      </c>
      <c r="E37" s="11" t="s">
        <v>8</v>
      </c>
      <c r="F37" s="10" t="s">
        <v>269</v>
      </c>
      <c r="G37" s="15">
        <v>2</v>
      </c>
      <c r="H37" s="110">
        <v>1</v>
      </c>
      <c r="I37" s="70"/>
      <c r="J37" s="71"/>
      <c r="L37" s="85"/>
      <c r="M37" s="86"/>
      <c r="N37" s="85"/>
      <c r="O37" s="86"/>
    </row>
    <row r="38" spans="2:23" ht="30" x14ac:dyDescent="0.25">
      <c r="B38" s="8"/>
      <c r="C38" s="14" t="s">
        <v>168</v>
      </c>
      <c r="D38" s="50" t="s">
        <v>165</v>
      </c>
      <c r="E38" s="11" t="s">
        <v>8</v>
      </c>
      <c r="F38" s="10" t="s">
        <v>269</v>
      </c>
      <c r="G38" s="15">
        <v>1.6</v>
      </c>
      <c r="H38" s="110">
        <v>6</v>
      </c>
      <c r="I38" s="70"/>
      <c r="J38" s="71"/>
      <c r="L38" s="85"/>
      <c r="M38" s="86"/>
      <c r="N38" s="85"/>
      <c r="O38" s="86"/>
    </row>
    <row r="39" spans="2:23" x14ac:dyDescent="0.25">
      <c r="B39" s="8"/>
      <c r="C39" s="150"/>
      <c r="D39" s="151"/>
      <c r="E39" s="151"/>
      <c r="F39" s="151"/>
      <c r="G39" s="151"/>
      <c r="H39" s="151"/>
      <c r="I39" s="70"/>
      <c r="J39" s="71"/>
      <c r="L39" s="85"/>
      <c r="M39" s="86"/>
      <c r="N39" s="85"/>
      <c r="O39" s="86"/>
    </row>
    <row r="40" spans="2:23" x14ac:dyDescent="0.25">
      <c r="B40" s="8"/>
      <c r="C40" s="14" t="s">
        <v>169</v>
      </c>
      <c r="D40" s="36" t="s">
        <v>266</v>
      </c>
      <c r="E40" s="37" t="s">
        <v>9</v>
      </c>
      <c r="F40" s="10" t="s">
        <v>264</v>
      </c>
      <c r="G40" s="38">
        <v>1.6</v>
      </c>
      <c r="H40" s="110">
        <v>2</v>
      </c>
      <c r="I40" s="70">
        <f>7860*O3*(2*(0.24+0.24)+2*0.1-8*0.025)*M40*H40</f>
        <v>2.9868553923928198</v>
      </c>
      <c r="J40" s="71">
        <f>1.15*(7860*(R3*G40*O40))*H40</f>
        <v>13.085271242863781</v>
      </c>
      <c r="L40" s="85">
        <f>(G40-2*0.25)/0.2</f>
        <v>5.5</v>
      </c>
      <c r="M40" s="86">
        <v>7</v>
      </c>
      <c r="N40" s="85"/>
      <c r="O40" s="86">
        <f>2+2</f>
        <v>4</v>
      </c>
    </row>
    <row r="41" spans="2:23" x14ac:dyDescent="0.25">
      <c r="B41" s="8"/>
      <c r="C41" s="14" t="s">
        <v>170</v>
      </c>
      <c r="D41" s="36" t="s">
        <v>266</v>
      </c>
      <c r="E41" s="37" t="s">
        <v>9</v>
      </c>
      <c r="F41" s="10" t="s">
        <v>264</v>
      </c>
      <c r="G41" s="38">
        <v>1.5</v>
      </c>
      <c r="H41" s="110">
        <v>2</v>
      </c>
      <c r="I41" s="70">
        <f>7860*O3*(2*(0.24+0.24)+2*0.1-8*0.025)*M41*H41</f>
        <v>2.5601617649081314</v>
      </c>
      <c r="J41" s="71">
        <f>1.15*(7860*(R3*G41*O41))*H41</f>
        <v>12.267441790184796</v>
      </c>
      <c r="L41" s="85">
        <f>(G41-2*0.25)/0.2</f>
        <v>5</v>
      </c>
      <c r="M41" s="86">
        <v>6</v>
      </c>
      <c r="N41" s="85"/>
      <c r="O41" s="86">
        <f t="shared" ref="O41:O43" si="0">2+2</f>
        <v>4</v>
      </c>
    </row>
    <row r="42" spans="2:23" x14ac:dyDescent="0.25">
      <c r="B42" s="8"/>
      <c r="C42" s="14" t="s">
        <v>171</v>
      </c>
      <c r="D42" s="36" t="s">
        <v>266</v>
      </c>
      <c r="E42" s="37" t="s">
        <v>9</v>
      </c>
      <c r="F42" s="10" t="s">
        <v>264</v>
      </c>
      <c r="G42" s="38">
        <v>2.25</v>
      </c>
      <c r="H42" s="110">
        <v>1</v>
      </c>
      <c r="I42" s="70">
        <f>7860*O3*(2*(0.24+0.24)+2*0.1-8*0.025)*M42*H42</f>
        <v>2.1334681374234425</v>
      </c>
      <c r="J42" s="71">
        <f>1.15*(7860*(R3*G42*O42))*H42</f>
        <v>9.2005813426385963</v>
      </c>
      <c r="L42" s="85">
        <f t="shared" ref="L42:L43" si="1">(G42-2*0.25)/0.2</f>
        <v>8.75</v>
      </c>
      <c r="M42" s="86">
        <v>10</v>
      </c>
      <c r="N42" s="85"/>
      <c r="O42" s="86">
        <f t="shared" si="0"/>
        <v>4</v>
      </c>
    </row>
    <row r="43" spans="2:23" x14ac:dyDescent="0.25">
      <c r="B43" s="8"/>
      <c r="C43" s="14" t="s">
        <v>172</v>
      </c>
      <c r="D43" s="36" t="s">
        <v>266</v>
      </c>
      <c r="E43" s="37" t="s">
        <v>9</v>
      </c>
      <c r="F43" s="10" t="s">
        <v>264</v>
      </c>
      <c r="G43" s="38">
        <v>2.0499999999999998</v>
      </c>
      <c r="H43" s="110">
        <v>1</v>
      </c>
      <c r="I43" s="70">
        <f>7860*O3*(2*(0.24+0.24)+2*0.1-8*0.025)*M43*H43</f>
        <v>1.9201213236810983</v>
      </c>
      <c r="J43" s="71">
        <f>1.15*(7860*(R3*G43*O43))*H43</f>
        <v>8.382751889959609</v>
      </c>
      <c r="L43" s="85">
        <f t="shared" si="1"/>
        <v>7.7499999999999991</v>
      </c>
      <c r="M43" s="86">
        <v>9</v>
      </c>
      <c r="N43" s="85"/>
      <c r="O43" s="86">
        <f t="shared" si="0"/>
        <v>4</v>
      </c>
    </row>
    <row r="44" spans="2:23" x14ac:dyDescent="0.25">
      <c r="B44" s="8"/>
      <c r="C44" s="150"/>
      <c r="D44" s="151"/>
      <c r="E44" s="151"/>
      <c r="F44" s="151"/>
      <c r="G44" s="151"/>
      <c r="H44" s="151"/>
      <c r="I44" s="70"/>
      <c r="J44" s="71"/>
      <c r="L44" s="85"/>
      <c r="M44" s="86"/>
      <c r="N44" s="85"/>
      <c r="O44" s="86"/>
    </row>
    <row r="45" spans="2:23" x14ac:dyDescent="0.25">
      <c r="B45" s="8"/>
      <c r="C45" s="9" t="s">
        <v>173</v>
      </c>
      <c r="D45" s="10" t="s">
        <v>7</v>
      </c>
      <c r="E45" s="37" t="s">
        <v>9</v>
      </c>
      <c r="F45" s="10" t="s">
        <v>270</v>
      </c>
      <c r="G45" s="20">
        <v>2.2000000000000002</v>
      </c>
      <c r="H45" s="62">
        <v>1</v>
      </c>
      <c r="I45" s="93">
        <f>7860*O3*(2*(0.16+0.35)+2*0.1-6*0.025)*M45*2*H45</f>
        <v>6.1826128732416841</v>
      </c>
      <c r="J45" s="87">
        <f>1.15*(7860*(T3*G45*O45))*H45</f>
        <v>31.986218593667022</v>
      </c>
      <c r="L45" s="78">
        <f>(G45-2*0.25)/0.15</f>
        <v>11.333333333333336</v>
      </c>
      <c r="M45" s="75">
        <v>13</v>
      </c>
      <c r="N45" s="78"/>
      <c r="O45" s="75">
        <f>4+4</f>
        <v>8</v>
      </c>
    </row>
    <row r="46" spans="2:23" x14ac:dyDescent="0.25">
      <c r="B46" s="8"/>
      <c r="C46" s="9" t="s">
        <v>174</v>
      </c>
      <c r="D46" s="10" t="s">
        <v>7</v>
      </c>
      <c r="E46" s="37" t="s">
        <v>9</v>
      </c>
      <c r="F46" s="10" t="s">
        <v>270</v>
      </c>
      <c r="G46" s="49">
        <v>2.1</v>
      </c>
      <c r="H46" s="62">
        <v>2</v>
      </c>
      <c r="I46" s="93">
        <f>7860*O3*(2*(0.16+0.35)+2*0.1-6*0.025)*M46*2*H46</f>
        <v>11.414054535215417</v>
      </c>
      <c r="J46" s="87">
        <f>1.15*(7860*(T3*G46*O46))*H46</f>
        <v>61.064599133364311</v>
      </c>
      <c r="L46" s="78">
        <f>(G46-2*0.25)/0.15</f>
        <v>10.666666666666668</v>
      </c>
      <c r="M46" s="75">
        <v>12</v>
      </c>
      <c r="N46" s="78"/>
      <c r="O46" s="75">
        <f>4+4</f>
        <v>8</v>
      </c>
    </row>
    <row r="47" spans="2:23" x14ac:dyDescent="0.25">
      <c r="B47" s="8"/>
      <c r="C47" s="150"/>
      <c r="D47" s="151"/>
      <c r="E47" s="151"/>
      <c r="F47" s="151"/>
      <c r="G47" s="151"/>
      <c r="H47" s="151"/>
      <c r="I47" s="70"/>
      <c r="J47" s="87"/>
      <c r="L47" s="78"/>
      <c r="M47" s="75"/>
      <c r="N47" s="78"/>
      <c r="O47" s="75"/>
    </row>
    <row r="48" spans="2:23" x14ac:dyDescent="0.25">
      <c r="B48" s="8"/>
      <c r="C48" s="9" t="s">
        <v>156</v>
      </c>
      <c r="D48" s="10" t="s">
        <v>52</v>
      </c>
      <c r="E48" s="37" t="s">
        <v>9</v>
      </c>
      <c r="F48" s="10" t="s">
        <v>155</v>
      </c>
      <c r="G48" s="21">
        <v>18.100000000000001</v>
      </c>
      <c r="H48" s="62">
        <v>1</v>
      </c>
      <c r="I48" s="70">
        <f>7860*O3*(2*(0.16+0.68)+2*0.1-6*0.025)*M48*2</f>
        <v>67.666497758613531</v>
      </c>
      <c r="J48" s="71">
        <f>1.15*(7860*(T3*G48*O48+U3*(5.8+6.1)*Q48+T3*2.1*S48+U3*3*U48+T3*5.8*W48))</f>
        <v>310.7070395636249</v>
      </c>
      <c r="L48" s="78">
        <f>(G48-3*0.4)/0.2</f>
        <v>84.5</v>
      </c>
      <c r="M48" s="75">
        <v>88</v>
      </c>
      <c r="N48" s="78"/>
      <c r="O48" s="75">
        <f>4+2</f>
        <v>6</v>
      </c>
      <c r="Q48">
        <v>2</v>
      </c>
      <c r="S48">
        <v>2</v>
      </c>
      <c r="U48">
        <v>2</v>
      </c>
      <c r="W48">
        <v>2</v>
      </c>
    </row>
    <row r="49" spans="2:23" x14ac:dyDescent="0.25">
      <c r="B49" s="8"/>
      <c r="C49" s="9" t="s">
        <v>157</v>
      </c>
      <c r="D49" s="10" t="s">
        <v>52</v>
      </c>
      <c r="E49" s="37" t="s">
        <v>9</v>
      </c>
      <c r="F49" s="10" t="s">
        <v>155</v>
      </c>
      <c r="G49" s="21">
        <v>9.4499999999999993</v>
      </c>
      <c r="H49" s="62">
        <v>1</v>
      </c>
      <c r="I49" s="70">
        <f>7860*O3*(2*(0.16+0.68)+2*0.1-6*0.025)*M49*2</f>
        <v>32.295373930247365</v>
      </c>
      <c r="J49" s="71">
        <f>1.15*(7860*(T3*G49*O49))</f>
        <v>137.39534805006969</v>
      </c>
      <c r="L49" s="78">
        <f>(G49-2*0.8)/0.2</f>
        <v>39.249999999999993</v>
      </c>
      <c r="M49" s="75">
        <v>42</v>
      </c>
      <c r="N49" s="78"/>
      <c r="O49" s="75">
        <f>4+4</f>
        <v>8</v>
      </c>
    </row>
    <row r="50" spans="2:23" x14ac:dyDescent="0.25">
      <c r="B50" s="8"/>
      <c r="C50" s="9" t="s">
        <v>158</v>
      </c>
      <c r="D50" s="10" t="s">
        <v>52</v>
      </c>
      <c r="E50" s="37" t="s">
        <v>9</v>
      </c>
      <c r="F50" s="10" t="s">
        <v>155</v>
      </c>
      <c r="G50" s="21">
        <v>11.9</v>
      </c>
      <c r="H50" s="62">
        <v>1</v>
      </c>
      <c r="I50" s="70">
        <f>7860*O3*(2*(0.16+0.68)+2*0.1-6*0.025)*M50*2</f>
        <v>44.598373522722554</v>
      </c>
      <c r="J50" s="71">
        <f>1.15*(7860*(T3*G50*O50+U3*2.5*Q50))</f>
        <v>187.21479220909796</v>
      </c>
      <c r="L50" s="78">
        <f>(G50-2*0.4)/0.2</f>
        <v>55.499999999999993</v>
      </c>
      <c r="M50" s="75">
        <v>58</v>
      </c>
      <c r="N50" s="78"/>
      <c r="O50" s="75">
        <f>4+4</f>
        <v>8</v>
      </c>
      <c r="Q50">
        <v>2</v>
      </c>
    </row>
    <row r="51" spans="2:23" x14ac:dyDescent="0.25">
      <c r="B51" s="8"/>
      <c r="C51" s="9" t="s">
        <v>159</v>
      </c>
      <c r="D51" s="10" t="s">
        <v>52</v>
      </c>
      <c r="E51" s="37" t="s">
        <v>9</v>
      </c>
      <c r="F51" s="10" t="s">
        <v>155</v>
      </c>
      <c r="G51" s="21">
        <v>22.1</v>
      </c>
      <c r="H51" s="62">
        <v>1</v>
      </c>
      <c r="I51" s="70">
        <f>7860*O3*(2*(0.16+0.68)+2*0.1-6*0.025)*M51*2</f>
        <v>76.124809978440226</v>
      </c>
      <c r="J51" s="71">
        <f>1.15*(7860*(T3*G51*O51+U4*(5.8+5.8)*Q51+T3*(2.5+2.5)*S51+T3*(4.85+4.85)*U51))</f>
        <v>294.41860296443514</v>
      </c>
      <c r="L51" s="78">
        <f>(G51-4*0.8)/0.2</f>
        <v>94.5</v>
      </c>
      <c r="M51" s="75">
        <v>99</v>
      </c>
      <c r="N51" s="78"/>
      <c r="O51" s="75">
        <f>4+2</f>
        <v>6</v>
      </c>
      <c r="Q51">
        <v>2</v>
      </c>
      <c r="S51">
        <v>2</v>
      </c>
      <c r="U51">
        <v>2</v>
      </c>
    </row>
    <row r="52" spans="2:23" x14ac:dyDescent="0.25">
      <c r="B52" s="8"/>
      <c r="C52" s="9" t="s">
        <v>160</v>
      </c>
      <c r="D52" s="10" t="s">
        <v>52</v>
      </c>
      <c r="E52" s="37" t="s">
        <v>9</v>
      </c>
      <c r="F52" s="10" t="s">
        <v>155</v>
      </c>
      <c r="G52" s="21">
        <v>18.149999999999999</v>
      </c>
      <c r="H52" s="62">
        <v>1</v>
      </c>
      <c r="I52" s="70">
        <f>7860*O3*(2*(0.16+0.68)+2*0.1-6*0.025)*M52*2</f>
        <v>67.666497758613531</v>
      </c>
      <c r="J52" s="71">
        <f>1.15*(7860*(T3*G52*O52+U3*(5.8+6.1)*Q52+T3*2.1*S52+U3*3*U52+T3*5.8*W52))</f>
        <v>311.25225919874418</v>
      </c>
      <c r="L52" s="78">
        <f>(G52-3*0.4)/0.2</f>
        <v>84.749999999999986</v>
      </c>
      <c r="M52" s="75">
        <v>88</v>
      </c>
      <c r="N52" s="78"/>
      <c r="O52" s="75">
        <f>O48</f>
        <v>6</v>
      </c>
      <c r="Q52">
        <f>Q48</f>
        <v>2</v>
      </c>
      <c r="S52">
        <f t="shared" ref="S52:W52" si="2">S48</f>
        <v>2</v>
      </c>
      <c r="U52">
        <f t="shared" si="2"/>
        <v>2</v>
      </c>
      <c r="W52">
        <f t="shared" si="2"/>
        <v>2</v>
      </c>
    </row>
    <row r="53" spans="2:23" x14ac:dyDescent="0.25">
      <c r="B53" s="8"/>
      <c r="C53" s="9" t="s">
        <v>161</v>
      </c>
      <c r="D53" s="10" t="s">
        <v>52</v>
      </c>
      <c r="E53" s="37" t="s">
        <v>9</v>
      </c>
      <c r="F53" s="10" t="s">
        <v>155</v>
      </c>
      <c r="G53" s="21">
        <v>11.18</v>
      </c>
      <c r="H53" s="62">
        <v>1</v>
      </c>
      <c r="I53" s="70">
        <f>7860*O3*(2*(0.16+0.68)+2*0.1-6*0.025)*M53*2</f>
        <v>38.446873726484959</v>
      </c>
      <c r="J53" s="71">
        <f>1.15*(7860*(T3*G53*O53+T3*2*Q53))</f>
        <v>169.81774235183218</v>
      </c>
      <c r="L53" s="78">
        <f>(G53-2*0.8)/0.2</f>
        <v>47.9</v>
      </c>
      <c r="M53" s="75">
        <v>50</v>
      </c>
      <c r="N53" s="78"/>
      <c r="O53" s="75">
        <f>4+4</f>
        <v>8</v>
      </c>
      <c r="Q53">
        <v>2</v>
      </c>
    </row>
    <row r="54" spans="2:23" x14ac:dyDescent="0.25">
      <c r="B54" s="8"/>
      <c r="C54" s="9" t="s">
        <v>162</v>
      </c>
      <c r="D54" s="10" t="s">
        <v>52</v>
      </c>
      <c r="E54" s="37" t="s">
        <v>9</v>
      </c>
      <c r="F54" s="10" t="s">
        <v>155</v>
      </c>
      <c r="G54" s="21">
        <v>11.85</v>
      </c>
      <c r="H54" s="62">
        <v>1</v>
      </c>
      <c r="I54" s="70">
        <f>7860*O3*(2*(0.16+0.68)+2*0.1-6*0.025)*M54*2</f>
        <v>44.598373522722554</v>
      </c>
      <c r="J54" s="71">
        <f>1.15*(7860*(T3*G54*O54+T3*2.5*Q54))</f>
        <v>181.37639861636185</v>
      </c>
      <c r="L54" s="78">
        <f>(G54-2*0.4)/0.2</f>
        <v>55.249999999999993</v>
      </c>
      <c r="M54" s="75">
        <v>58</v>
      </c>
      <c r="N54" s="78"/>
      <c r="O54" s="75">
        <f>4+4</f>
        <v>8</v>
      </c>
      <c r="Q54">
        <v>2</v>
      </c>
    </row>
    <row r="55" spans="2:23" x14ac:dyDescent="0.25">
      <c r="B55" s="8"/>
      <c r="C55" s="9" t="s">
        <v>163</v>
      </c>
      <c r="D55" s="10" t="s">
        <v>52</v>
      </c>
      <c r="E55" s="37" t="s">
        <v>9</v>
      </c>
      <c r="F55" s="10" t="s">
        <v>155</v>
      </c>
      <c r="G55" s="21">
        <v>15.8</v>
      </c>
      <c r="H55" s="62">
        <v>1</v>
      </c>
      <c r="I55" s="70">
        <f>7860*O3*(2*(0.16+0.68)+2*0.1-6*0.025)*M55*2</f>
        <v>53.825623217078942</v>
      </c>
      <c r="J55" s="71">
        <f>1.15*(7860*(T3*G55*O55+T3*2.5*Q55))</f>
        <v>238.80620018226404</v>
      </c>
      <c r="L55" s="78">
        <f>(G55-3*0.8)/0.2</f>
        <v>67</v>
      </c>
      <c r="M55" s="75">
        <v>70</v>
      </c>
      <c r="N55" s="78"/>
      <c r="O55" s="75">
        <f>4+4</f>
        <v>8</v>
      </c>
      <c r="Q55">
        <v>2</v>
      </c>
    </row>
    <row r="56" spans="2:23" x14ac:dyDescent="0.25">
      <c r="B56" s="8"/>
      <c r="C56" s="127"/>
      <c r="D56" s="128"/>
      <c r="E56" s="128"/>
      <c r="F56" s="128"/>
      <c r="G56" s="128"/>
      <c r="H56" s="128"/>
      <c r="I56" s="70"/>
      <c r="J56" s="71"/>
      <c r="L56" s="78"/>
      <c r="M56" s="75"/>
      <c r="N56" s="78"/>
      <c r="O56" s="75"/>
    </row>
    <row r="57" spans="2:23" x14ac:dyDescent="0.25">
      <c r="B57" s="8"/>
      <c r="C57" s="9" t="s">
        <v>152</v>
      </c>
      <c r="D57" s="10" t="s">
        <v>10</v>
      </c>
      <c r="E57" s="37" t="s">
        <v>9</v>
      </c>
      <c r="F57" s="10" t="s">
        <v>89</v>
      </c>
      <c r="G57" s="21">
        <v>3.84</v>
      </c>
      <c r="H57" s="62">
        <v>7</v>
      </c>
      <c r="I57" s="70">
        <f>7860*O3*(2*(0.6+0.4)+2*0.1-6*0.025)*M57*2*H57</f>
        <v>102.05089257342136</v>
      </c>
      <c r="J57" s="71">
        <f>1.15*(7860*(U3*G57*O57))*H57</f>
        <v>763.30748916705397</v>
      </c>
      <c r="L57" s="78">
        <f>(G57-0.24)/0.25</f>
        <v>14.399999999999999</v>
      </c>
      <c r="M57" s="75">
        <v>16</v>
      </c>
      <c r="N57" s="78"/>
      <c r="O57" s="75">
        <f>5+5</f>
        <v>10</v>
      </c>
      <c r="P57" s="80"/>
      <c r="Q57" s="80"/>
      <c r="R57" s="80"/>
      <c r="S57" s="80"/>
      <c r="T57" s="80"/>
      <c r="U57" s="80"/>
    </row>
    <row r="58" spans="2:23" x14ac:dyDescent="0.25">
      <c r="B58" s="8"/>
      <c r="C58" s="9" t="s">
        <v>153</v>
      </c>
      <c r="D58" s="10" t="s">
        <v>10</v>
      </c>
      <c r="E58" s="37" t="s">
        <v>9</v>
      </c>
      <c r="F58" s="10" t="s">
        <v>89</v>
      </c>
      <c r="G58" s="21">
        <v>3.84</v>
      </c>
      <c r="H58" s="62">
        <v>13</v>
      </c>
      <c r="I58" s="70">
        <f>7860*O3*(2*(0.48+0.4)+2*0.1-6*0.025)*M58*2*H58</f>
        <v>167.33501757857871</v>
      </c>
      <c r="J58" s="71">
        <f>1.15*(7860*(T3*G58*O58))*H58</f>
        <v>1088.6945674062665</v>
      </c>
      <c r="L58" s="78">
        <f t="shared" ref="L58:L59" si="3">(G58-0.24)/0.25</f>
        <v>14.399999999999999</v>
      </c>
      <c r="M58" s="75">
        <v>16</v>
      </c>
      <c r="N58" s="78"/>
      <c r="O58" s="75">
        <f>6+6</f>
        <v>12</v>
      </c>
      <c r="P58" s="80"/>
      <c r="Q58" s="80"/>
      <c r="R58" s="80"/>
      <c r="S58" s="80"/>
      <c r="T58" s="80"/>
      <c r="U58" s="80"/>
    </row>
    <row r="59" spans="2:23" x14ac:dyDescent="0.25">
      <c r="B59" s="8"/>
      <c r="C59" s="9" t="s">
        <v>154</v>
      </c>
      <c r="D59" s="10" t="s">
        <v>10</v>
      </c>
      <c r="E59" s="37" t="s">
        <v>9</v>
      </c>
      <c r="F59" s="10" t="s">
        <v>89</v>
      </c>
      <c r="G59" s="21">
        <v>3.84</v>
      </c>
      <c r="H59" s="62">
        <v>6</v>
      </c>
      <c r="I59" s="70">
        <f>7860*O3*(2*(0.48+0.4)+2*0.1-6*0.025)*M59*2*H59</f>
        <v>77.23154657472864</v>
      </c>
      <c r="J59" s="71">
        <f>1.15*(7860*(T3*G59*O59))*H59</f>
        <v>502.47441572596915</v>
      </c>
      <c r="L59" s="78">
        <f t="shared" si="3"/>
        <v>14.399999999999999</v>
      </c>
      <c r="M59" s="75">
        <v>16</v>
      </c>
      <c r="N59" s="78"/>
      <c r="O59" s="75">
        <f>6+6</f>
        <v>12</v>
      </c>
      <c r="P59" s="80"/>
      <c r="Q59" s="80"/>
      <c r="R59" s="80"/>
      <c r="S59" s="80"/>
      <c r="T59" s="80"/>
      <c r="U59" s="80"/>
    </row>
    <row r="60" spans="2:23" x14ac:dyDescent="0.25">
      <c r="B60" s="8"/>
      <c r="C60" s="127"/>
      <c r="D60" s="128"/>
      <c r="E60" s="128"/>
      <c r="F60" s="128"/>
      <c r="G60" s="128"/>
      <c r="H60" s="128"/>
      <c r="I60" s="70"/>
      <c r="J60" s="88"/>
      <c r="L60" s="78"/>
      <c r="M60" s="75"/>
      <c r="N60" s="78"/>
      <c r="O60" s="75"/>
    </row>
    <row r="61" spans="2:23" x14ac:dyDescent="0.25">
      <c r="B61" s="8"/>
      <c r="C61" s="95" t="s">
        <v>175</v>
      </c>
      <c r="D61" s="10" t="s">
        <v>15</v>
      </c>
      <c r="E61" s="37" t="s">
        <v>9</v>
      </c>
      <c r="F61" s="10" t="s">
        <v>16</v>
      </c>
      <c r="G61" s="38">
        <v>4.6500000000000004</v>
      </c>
      <c r="H61" s="62">
        <v>1</v>
      </c>
      <c r="I61" s="107">
        <v>0</v>
      </c>
      <c r="J61" s="103">
        <f>16.4*(G61*3.84-1.02*2.23)</f>
        <v>255.53496000000001</v>
      </c>
      <c r="L61" s="78"/>
      <c r="M61" s="75"/>
      <c r="N61" s="78"/>
      <c r="O61" s="75"/>
    </row>
    <row r="62" spans="2:23" x14ac:dyDescent="0.25">
      <c r="B62" s="8"/>
      <c r="C62" s="95" t="s">
        <v>176</v>
      </c>
      <c r="D62" s="10" t="s">
        <v>15</v>
      </c>
      <c r="E62" s="37" t="s">
        <v>9</v>
      </c>
      <c r="F62" s="10" t="s">
        <v>16</v>
      </c>
      <c r="G62" s="38">
        <v>2.95</v>
      </c>
      <c r="H62" s="62">
        <v>1</v>
      </c>
      <c r="I62" s="107">
        <v>0</v>
      </c>
      <c r="J62" s="103">
        <f>16.4*(G62*3.84)</f>
        <v>185.77919999999997</v>
      </c>
      <c r="L62" s="78"/>
      <c r="M62" s="75"/>
      <c r="N62" s="78"/>
      <c r="O62" s="75"/>
    </row>
    <row r="63" spans="2:23" x14ac:dyDescent="0.25">
      <c r="B63" s="8"/>
      <c r="C63" s="95" t="s">
        <v>177</v>
      </c>
      <c r="D63" s="10" t="s">
        <v>15</v>
      </c>
      <c r="E63" s="37" t="s">
        <v>9</v>
      </c>
      <c r="F63" s="10" t="s">
        <v>16</v>
      </c>
      <c r="G63" s="38">
        <v>4.6500000000000004</v>
      </c>
      <c r="H63" s="62">
        <v>1</v>
      </c>
      <c r="I63" s="107">
        <v>0</v>
      </c>
      <c r="J63" s="103">
        <f>16.4*(G63*3.84)</f>
        <v>292.83839999999998</v>
      </c>
      <c r="L63" s="78"/>
      <c r="M63" s="75"/>
      <c r="N63" s="78"/>
      <c r="O63" s="75"/>
    </row>
    <row r="64" spans="2:23" x14ac:dyDescent="0.25">
      <c r="B64" s="8"/>
      <c r="C64" s="95" t="s">
        <v>178</v>
      </c>
      <c r="D64" s="10" t="s">
        <v>15</v>
      </c>
      <c r="E64" s="37" t="s">
        <v>9</v>
      </c>
      <c r="F64" s="10" t="s">
        <v>16</v>
      </c>
      <c r="G64" s="39">
        <v>4.6500000000000004</v>
      </c>
      <c r="H64" s="62">
        <v>1</v>
      </c>
      <c r="I64" s="107">
        <v>0</v>
      </c>
      <c r="J64" s="103">
        <f>16.4*(G64*3.84)</f>
        <v>292.83839999999998</v>
      </c>
      <c r="L64" s="78"/>
      <c r="M64" s="75"/>
      <c r="N64" s="78"/>
      <c r="O64" s="75"/>
    </row>
    <row r="65" spans="2:22" x14ac:dyDescent="0.25">
      <c r="B65" s="8"/>
      <c r="C65" s="95" t="s">
        <v>179</v>
      </c>
      <c r="D65" s="10" t="s">
        <v>15</v>
      </c>
      <c r="E65" s="37" t="s">
        <v>9</v>
      </c>
      <c r="F65" s="10" t="s">
        <v>16</v>
      </c>
      <c r="G65" s="38">
        <v>11.18</v>
      </c>
      <c r="H65" s="62">
        <v>1</v>
      </c>
      <c r="I65" s="107">
        <v>0</v>
      </c>
      <c r="J65" s="103">
        <f>16.4*(G65*3.84-1.09*2.23-1.09*2.24-1.54*2.26)</f>
        <v>567.08739999999977</v>
      </c>
      <c r="L65" s="78"/>
      <c r="M65" s="75"/>
      <c r="N65" s="78"/>
      <c r="O65" s="75"/>
    </row>
    <row r="66" spans="2:22" x14ac:dyDescent="0.25">
      <c r="B66" s="8"/>
      <c r="C66" s="95" t="s">
        <v>180</v>
      </c>
      <c r="D66" s="10" t="s">
        <v>15</v>
      </c>
      <c r="E66" s="37" t="s">
        <v>9</v>
      </c>
      <c r="F66" s="10" t="s">
        <v>16</v>
      </c>
      <c r="G66" s="38">
        <v>4.1500000000000004</v>
      </c>
      <c r="H66" s="62">
        <v>1</v>
      </c>
      <c r="I66" s="107">
        <v>0</v>
      </c>
      <c r="J66" s="103">
        <f>16.4*(G66*3.84-1.18*2.33-1.18*2.33)</f>
        <v>171.17007999999998</v>
      </c>
      <c r="L66" s="78"/>
      <c r="M66" s="75"/>
      <c r="N66" s="78"/>
      <c r="O66" s="75"/>
    </row>
    <row r="67" spans="2:22" x14ac:dyDescent="0.25">
      <c r="B67" s="8"/>
      <c r="C67" s="95" t="s">
        <v>181</v>
      </c>
      <c r="D67" s="10" t="s">
        <v>15</v>
      </c>
      <c r="E67" s="37" t="s">
        <v>9</v>
      </c>
      <c r="F67" s="10" t="s">
        <v>16</v>
      </c>
      <c r="G67" s="38">
        <v>2.2000000000000002</v>
      </c>
      <c r="H67" s="62">
        <v>1</v>
      </c>
      <c r="I67" s="107">
        <v>0</v>
      </c>
      <c r="J67" s="103">
        <f>16.4*(G67*3.84)</f>
        <v>138.5472</v>
      </c>
      <c r="L67" s="78"/>
      <c r="M67" s="75"/>
      <c r="N67" s="78"/>
      <c r="O67" s="75"/>
    </row>
    <row r="68" spans="2:22" x14ac:dyDescent="0.25">
      <c r="B68" s="8"/>
      <c r="C68" s="95" t="s">
        <v>182</v>
      </c>
      <c r="D68" s="10" t="s">
        <v>15</v>
      </c>
      <c r="E68" s="37" t="s">
        <v>9</v>
      </c>
      <c r="F68" s="10" t="s">
        <v>16</v>
      </c>
      <c r="G68" s="38">
        <v>2.2000000000000002</v>
      </c>
      <c r="H68" s="62">
        <v>1</v>
      </c>
      <c r="I68" s="107">
        <v>0</v>
      </c>
      <c r="J68" s="103">
        <f>16.4*(G68*3.84)</f>
        <v>138.5472</v>
      </c>
      <c r="L68" s="78"/>
      <c r="M68" s="75"/>
      <c r="N68" s="78"/>
      <c r="O68" s="75"/>
    </row>
    <row r="69" spans="2:22" x14ac:dyDescent="0.25">
      <c r="B69" s="8"/>
      <c r="C69" s="95" t="s">
        <v>183</v>
      </c>
      <c r="D69" s="10" t="s">
        <v>15</v>
      </c>
      <c r="E69" s="37" t="s">
        <v>9</v>
      </c>
      <c r="F69" s="10" t="s">
        <v>16</v>
      </c>
      <c r="G69" s="38">
        <v>9.24</v>
      </c>
      <c r="H69" s="62">
        <v>1</v>
      </c>
      <c r="I69" s="107">
        <v>0</v>
      </c>
      <c r="J69" s="103">
        <f>16.4*(G69*3.84-1.65*2.36)</f>
        <v>518.03664000000003</v>
      </c>
      <c r="L69" s="78"/>
      <c r="M69" s="75"/>
      <c r="N69" s="78"/>
      <c r="O69" s="75"/>
    </row>
    <row r="70" spans="2:22" x14ac:dyDescent="0.25">
      <c r="B70" s="8"/>
      <c r="C70" s="95" t="s">
        <v>184</v>
      </c>
      <c r="D70" s="10" t="s">
        <v>15</v>
      </c>
      <c r="E70" s="37" t="s">
        <v>9</v>
      </c>
      <c r="F70" s="10" t="s">
        <v>16</v>
      </c>
      <c r="G70" s="38">
        <v>6.5</v>
      </c>
      <c r="H70" s="62">
        <v>1</v>
      </c>
      <c r="I70" s="107">
        <v>0</v>
      </c>
      <c r="J70" s="103">
        <f>16.4*(G70*3.84-1.09*2.23)</f>
        <v>369.48051999999996</v>
      </c>
      <c r="L70" s="78"/>
      <c r="M70" s="75"/>
      <c r="N70" s="78"/>
      <c r="O70" s="75"/>
    </row>
    <row r="71" spans="2:22" x14ac:dyDescent="0.25">
      <c r="B71" s="8"/>
      <c r="C71" s="95" t="s">
        <v>185</v>
      </c>
      <c r="D71" s="10" t="s">
        <v>15</v>
      </c>
      <c r="E71" s="37" t="s">
        <v>9</v>
      </c>
      <c r="F71" s="10" t="s">
        <v>16</v>
      </c>
      <c r="G71" s="38">
        <v>6.5</v>
      </c>
      <c r="H71" s="62">
        <v>1</v>
      </c>
      <c r="I71" s="107">
        <v>0</v>
      </c>
      <c r="J71" s="103">
        <f>16.4*(G71*3.84-1.22*2.26)</f>
        <v>364.12591999999995</v>
      </c>
      <c r="L71" s="78"/>
      <c r="M71" s="75"/>
      <c r="N71" s="78"/>
      <c r="O71" s="75"/>
    </row>
    <row r="72" spans="2:22" x14ac:dyDescent="0.25">
      <c r="B72" s="8"/>
      <c r="C72" s="95" t="s">
        <v>629</v>
      </c>
      <c r="D72" s="10" t="s">
        <v>15</v>
      </c>
      <c r="E72" s="37" t="s">
        <v>9</v>
      </c>
      <c r="F72" s="105" t="s">
        <v>663</v>
      </c>
      <c r="G72" s="38">
        <v>5.8</v>
      </c>
      <c r="H72" s="62">
        <v>2</v>
      </c>
      <c r="I72" s="70">
        <v>0</v>
      </c>
      <c r="J72" s="71">
        <f>1.15*7860*(Q3*1*O72)*G72*0.74*H72+1.15*7860*(Q3*1*Q72)*G72*0.74*H72+1.15*7860*(Q3*1*S72)*G72*0.74*H72+1.15*7860*(Q3*1*U72)*G72*0.74*H72</f>
        <v>162.50574124528751</v>
      </c>
      <c r="K72" s="6"/>
      <c r="L72" s="85"/>
      <c r="M72" s="86"/>
      <c r="N72" s="85"/>
      <c r="O72" s="86">
        <f>1/0.15</f>
        <v>6.666666666666667</v>
      </c>
      <c r="P72" s="6"/>
      <c r="Q72" s="6">
        <f>1/0.15</f>
        <v>6.666666666666667</v>
      </c>
      <c r="R72" s="6"/>
      <c r="S72" s="6">
        <f t="shared" ref="S72:U75" si="4">1/0.15</f>
        <v>6.666666666666667</v>
      </c>
      <c r="T72" s="6"/>
      <c r="U72" s="6">
        <f t="shared" si="4"/>
        <v>6.666666666666667</v>
      </c>
      <c r="V72" s="6"/>
    </row>
    <row r="73" spans="2:22" x14ac:dyDescent="0.25">
      <c r="B73" s="8"/>
      <c r="C73" s="95" t="s">
        <v>630</v>
      </c>
      <c r="D73" s="10" t="s">
        <v>15</v>
      </c>
      <c r="E73" s="37" t="s">
        <v>9</v>
      </c>
      <c r="F73" s="105" t="s">
        <v>663</v>
      </c>
      <c r="G73" s="38">
        <v>2.7</v>
      </c>
      <c r="H73" s="62">
        <v>1</v>
      </c>
      <c r="I73" s="70">
        <v>0</v>
      </c>
      <c r="J73" s="71">
        <f>1.15*7860*(Q3*1*O73)*(G73*0.74-1*0.3)*H73+1.15*7860*(Q3*1*Q73)*(G73*0.74-1*0.3)*H73+1.15*7860*(Q3*1*S73)*(G73*0.74-1*0.3)*H73+1.15*7860*(Q3*1*U73)*(G73*0.74-1*0.3)*H73</f>
        <v>32.145240987243497</v>
      </c>
      <c r="K73" s="6"/>
      <c r="L73" s="85"/>
      <c r="M73" s="86"/>
      <c r="N73" s="85"/>
      <c r="O73" s="86">
        <f t="shared" ref="O73:O75" si="5">1/0.15</f>
        <v>6.666666666666667</v>
      </c>
      <c r="P73" s="6"/>
      <c r="Q73" s="6">
        <f t="shared" ref="Q73:Q75" si="6">1/0.15</f>
        <v>6.666666666666667</v>
      </c>
      <c r="R73" s="6"/>
      <c r="S73" s="6">
        <f t="shared" si="4"/>
        <v>6.666666666666667</v>
      </c>
      <c r="T73" s="6"/>
      <c r="U73" s="6">
        <f t="shared" si="4"/>
        <v>6.666666666666667</v>
      </c>
      <c r="V73" s="6"/>
    </row>
    <row r="74" spans="2:22" x14ac:dyDescent="0.25">
      <c r="B74" s="8"/>
      <c r="C74" s="95" t="s">
        <v>631</v>
      </c>
      <c r="D74" s="10" t="s">
        <v>15</v>
      </c>
      <c r="E74" s="37" t="s">
        <v>9</v>
      </c>
      <c r="F74" s="105" t="s">
        <v>663</v>
      </c>
      <c r="G74" s="38">
        <v>2.7</v>
      </c>
      <c r="H74" s="62">
        <v>1</v>
      </c>
      <c r="I74" s="70">
        <v>0</v>
      </c>
      <c r="J74" s="71">
        <f>1.15*7860*(Q3*1*O74)*G74*0.54*H74+1.15*7860*(Q3*1*Q74)*G74*0.54*H74+1.15*7860*(Q3*1*S74)*G74*0.54*H74+1.15*7860*(Q3*1*U74)*G74*0.54*H74</f>
        <v>27.6017440279158</v>
      </c>
      <c r="K74" s="6"/>
      <c r="L74" s="85"/>
      <c r="M74" s="86"/>
      <c r="N74" s="85"/>
      <c r="O74" s="86">
        <f t="shared" si="5"/>
        <v>6.666666666666667</v>
      </c>
      <c r="P74" s="6"/>
      <c r="Q74" s="6">
        <f t="shared" si="6"/>
        <v>6.666666666666667</v>
      </c>
      <c r="R74" s="6"/>
      <c r="S74" s="6">
        <f t="shared" si="4"/>
        <v>6.666666666666667</v>
      </c>
      <c r="T74" s="6"/>
      <c r="U74" s="6">
        <f t="shared" si="4"/>
        <v>6.666666666666667</v>
      </c>
      <c r="V74" s="6"/>
    </row>
    <row r="75" spans="2:22" x14ac:dyDescent="0.25">
      <c r="B75" s="8"/>
      <c r="C75" s="95" t="s">
        <v>632</v>
      </c>
      <c r="D75" s="10" t="s">
        <v>15</v>
      </c>
      <c r="E75" s="37" t="s">
        <v>9</v>
      </c>
      <c r="F75" s="105" t="s">
        <v>663</v>
      </c>
      <c r="G75" s="38">
        <v>2.7</v>
      </c>
      <c r="H75" s="62">
        <v>1</v>
      </c>
      <c r="I75" s="70">
        <v>0</v>
      </c>
      <c r="J75" s="71">
        <f>1.15*7860*(Q3*1*O75)*G75*0.74*H75+1.15*7860*(Q3*1*Q75)*G75*0.74*H75+1.15*7860*(Q3*1*S75)*G75*0.74*H75+1.15*7860*(Q3*1*U75)*G75*0.74*H75</f>
        <v>37.824612186403129</v>
      </c>
      <c r="K75" s="6"/>
      <c r="L75" s="85"/>
      <c r="M75" s="86"/>
      <c r="N75" s="85"/>
      <c r="O75" s="86">
        <f t="shared" si="5"/>
        <v>6.666666666666667</v>
      </c>
      <c r="P75" s="6"/>
      <c r="Q75" s="6">
        <f t="shared" si="6"/>
        <v>6.666666666666667</v>
      </c>
      <c r="R75" s="6"/>
      <c r="S75" s="6">
        <f t="shared" si="4"/>
        <v>6.666666666666667</v>
      </c>
      <c r="T75" s="6"/>
      <c r="U75" s="6">
        <f t="shared" si="4"/>
        <v>6.666666666666667</v>
      </c>
      <c r="V75" s="6"/>
    </row>
    <row r="76" spans="2:22" x14ac:dyDescent="0.25">
      <c r="B76" s="8"/>
      <c r="C76" s="127"/>
      <c r="D76" s="128"/>
      <c r="E76" s="128"/>
      <c r="F76" s="128"/>
      <c r="G76" s="128"/>
      <c r="H76" s="128"/>
      <c r="I76" s="70"/>
      <c r="J76" s="87"/>
      <c r="L76" s="78"/>
      <c r="M76" s="75"/>
      <c r="N76" s="78"/>
      <c r="O76" s="75"/>
    </row>
    <row r="77" spans="2:22" x14ac:dyDescent="0.25">
      <c r="B77" s="8"/>
      <c r="C77" s="9" t="s">
        <v>186</v>
      </c>
      <c r="D77" s="10" t="s">
        <v>17</v>
      </c>
      <c r="E77" s="37" t="s">
        <v>9</v>
      </c>
      <c r="F77" s="10" t="s">
        <v>60</v>
      </c>
      <c r="G77" s="40" t="s">
        <v>8</v>
      </c>
      <c r="H77" s="62">
        <v>1</v>
      </c>
      <c r="I77" s="70">
        <v>0</v>
      </c>
      <c r="J77" s="71">
        <f>1.15*(6328+173+92+266+4339+25+66+74+11+30+216+347+79+73+147+14+67+25+9+36+11+313+104+101+371+235+391+136+11+77+51+54+11+38+46+63+46)</f>
        <v>16647.399999999998</v>
      </c>
      <c r="L77" s="78"/>
      <c r="M77" s="75"/>
      <c r="N77" s="78"/>
      <c r="O77" s="75"/>
    </row>
    <row r="78" spans="2:22" x14ac:dyDescent="0.25">
      <c r="B78" s="8"/>
      <c r="C78" s="95" t="s">
        <v>634</v>
      </c>
      <c r="D78" s="10" t="s">
        <v>17</v>
      </c>
      <c r="E78" s="37" t="s">
        <v>9</v>
      </c>
      <c r="F78" s="10" t="s">
        <v>635</v>
      </c>
      <c r="G78" s="40" t="s">
        <v>8</v>
      </c>
      <c r="H78" s="62">
        <v>1</v>
      </c>
      <c r="I78" s="107">
        <f>1.15*(7860*(O3*1*M78))*H78*1.05*2.3*2</f>
        <v>4.9376453205493789</v>
      </c>
      <c r="J78" s="103">
        <f>1.15*(7860*(P3*1*O78))*H78*1.05*2.3+1.15*(7860*(P3*1*Q78))*H78*1.05*2.3</f>
        <v>15.675064509680569</v>
      </c>
      <c r="L78" s="85"/>
      <c r="M78" s="86">
        <f>1/0.25</f>
        <v>4</v>
      </c>
      <c r="N78" s="85"/>
      <c r="O78" s="86">
        <f>1/0.14</f>
        <v>7.1428571428571423</v>
      </c>
      <c r="Q78">
        <f>1/0.14</f>
        <v>7.1428571428571423</v>
      </c>
    </row>
    <row r="79" spans="2:22" x14ac:dyDescent="0.25">
      <c r="B79" s="8"/>
      <c r="C79" s="127"/>
      <c r="D79" s="128"/>
      <c r="E79" s="128"/>
      <c r="F79" s="128"/>
      <c r="G79" s="128"/>
      <c r="H79" s="128"/>
      <c r="I79" s="70"/>
      <c r="J79" s="87"/>
      <c r="L79" s="78"/>
      <c r="M79" s="75"/>
      <c r="N79" s="78"/>
      <c r="O79" s="75"/>
    </row>
    <row r="80" spans="2:22" x14ac:dyDescent="0.25">
      <c r="B80" s="8"/>
      <c r="C80" s="9" t="s">
        <v>192</v>
      </c>
      <c r="D80" s="10" t="s">
        <v>193</v>
      </c>
      <c r="E80" s="37" t="s">
        <v>9</v>
      </c>
      <c r="F80" s="10" t="s">
        <v>194</v>
      </c>
      <c r="G80" s="40" t="s">
        <v>8</v>
      </c>
      <c r="H80" s="62">
        <v>1</v>
      </c>
      <c r="I80" s="70">
        <v>0</v>
      </c>
      <c r="J80" s="71">
        <f>1.15*(78+110)</f>
        <v>216.2</v>
      </c>
      <c r="L80" s="85"/>
      <c r="M80" s="75"/>
      <c r="N80" s="78"/>
      <c r="O80" s="75"/>
    </row>
    <row r="81" spans="2:23" x14ac:dyDescent="0.25">
      <c r="B81" s="8"/>
      <c r="C81" s="9" t="s">
        <v>195</v>
      </c>
      <c r="D81" s="10" t="s">
        <v>193</v>
      </c>
      <c r="E81" s="37" t="s">
        <v>9</v>
      </c>
      <c r="F81" s="10" t="s">
        <v>194</v>
      </c>
      <c r="G81" s="40" t="s">
        <v>8</v>
      </c>
      <c r="H81" s="62">
        <v>1</v>
      </c>
      <c r="I81" s="70">
        <v>0</v>
      </c>
      <c r="J81" s="71">
        <f>1.15*(104+144)</f>
        <v>285.2</v>
      </c>
      <c r="L81" s="85"/>
      <c r="M81" s="86"/>
      <c r="N81" s="85"/>
      <c r="O81" s="86"/>
    </row>
    <row r="82" spans="2:23" x14ac:dyDescent="0.25">
      <c r="B82" s="8"/>
      <c r="C82" s="9" t="s">
        <v>196</v>
      </c>
      <c r="D82" s="10" t="s">
        <v>193</v>
      </c>
      <c r="E82" s="37" t="s">
        <v>9</v>
      </c>
      <c r="F82" s="10" t="s">
        <v>194</v>
      </c>
      <c r="G82" s="40" t="s">
        <v>8</v>
      </c>
      <c r="H82" s="62">
        <v>1</v>
      </c>
      <c r="I82" s="70">
        <v>0</v>
      </c>
      <c r="J82" s="71">
        <f>1.15*(78+109)</f>
        <v>215.04999999999998</v>
      </c>
      <c r="L82" s="85"/>
      <c r="M82" s="86"/>
      <c r="N82" s="85"/>
      <c r="O82" s="86"/>
    </row>
    <row r="83" spans="2:23" x14ac:dyDescent="0.25">
      <c r="B83" s="8"/>
      <c r="C83" s="9" t="s">
        <v>197</v>
      </c>
      <c r="D83" s="10" t="s">
        <v>193</v>
      </c>
      <c r="E83" s="37" t="s">
        <v>9</v>
      </c>
      <c r="F83" s="10" t="s">
        <v>194</v>
      </c>
      <c r="G83" s="40" t="s">
        <v>8</v>
      </c>
      <c r="H83" s="62">
        <v>1</v>
      </c>
      <c r="I83" s="70">
        <v>0</v>
      </c>
      <c r="J83" s="71">
        <f>1.15*(64+92)</f>
        <v>179.39999999999998</v>
      </c>
      <c r="L83" s="85"/>
      <c r="M83" s="86"/>
      <c r="N83" s="85"/>
      <c r="O83" s="86"/>
    </row>
    <row r="84" spans="2:23" x14ac:dyDescent="0.25">
      <c r="B84" s="8"/>
      <c r="C84" s="9" t="s">
        <v>198</v>
      </c>
      <c r="D84" s="10" t="s">
        <v>193</v>
      </c>
      <c r="E84" s="37" t="s">
        <v>9</v>
      </c>
      <c r="F84" s="10" t="s">
        <v>194</v>
      </c>
      <c r="G84" s="40" t="s">
        <v>8</v>
      </c>
      <c r="H84" s="62">
        <v>1</v>
      </c>
      <c r="I84" s="70">
        <v>0</v>
      </c>
      <c r="J84" s="71">
        <f>1.15*(68+95)</f>
        <v>187.45</v>
      </c>
      <c r="L84" s="85"/>
      <c r="M84" s="86"/>
      <c r="N84" s="85"/>
      <c r="O84" s="86"/>
    </row>
    <row r="85" spans="2:23" x14ac:dyDescent="0.25">
      <c r="B85" s="8"/>
      <c r="C85" s="9" t="s">
        <v>200</v>
      </c>
      <c r="D85" s="10" t="s">
        <v>193</v>
      </c>
      <c r="E85" s="37" t="s">
        <v>9</v>
      </c>
      <c r="F85" s="10" t="s">
        <v>194</v>
      </c>
      <c r="G85" s="40" t="s">
        <v>8</v>
      </c>
      <c r="H85" s="62">
        <v>1</v>
      </c>
      <c r="I85" s="70">
        <v>0</v>
      </c>
      <c r="J85" s="71">
        <f>1.15*(74+104)</f>
        <v>204.7</v>
      </c>
      <c r="L85" s="85"/>
      <c r="M85" s="86"/>
      <c r="N85" s="85"/>
      <c r="O85" s="86"/>
    </row>
    <row r="86" spans="2:23" x14ac:dyDescent="0.25">
      <c r="B86" s="8"/>
      <c r="C86" s="9" t="s">
        <v>199</v>
      </c>
      <c r="D86" s="10" t="s">
        <v>193</v>
      </c>
      <c r="E86" s="37" t="s">
        <v>9</v>
      </c>
      <c r="F86" s="10" t="s">
        <v>194</v>
      </c>
      <c r="G86" s="40" t="s">
        <v>8</v>
      </c>
      <c r="H86" s="62">
        <v>1</v>
      </c>
      <c r="I86" s="70">
        <v>0</v>
      </c>
      <c r="J86" s="71">
        <f>1.15*(68+98)</f>
        <v>190.89999999999998</v>
      </c>
      <c r="L86" s="85"/>
      <c r="M86" s="86"/>
      <c r="N86" s="85"/>
      <c r="O86" s="86"/>
    </row>
    <row r="87" spans="2:23" x14ac:dyDescent="0.25">
      <c r="B87" s="8"/>
      <c r="C87" s="127"/>
      <c r="D87" s="128"/>
      <c r="E87" s="128"/>
      <c r="F87" s="128"/>
      <c r="G87" s="128"/>
      <c r="H87" s="128"/>
      <c r="I87" s="70"/>
      <c r="J87" s="71"/>
      <c r="L87" s="85"/>
      <c r="M87" s="86"/>
      <c r="N87" s="85"/>
      <c r="O87" s="86"/>
    </row>
    <row r="88" spans="2:23" ht="30" x14ac:dyDescent="0.25">
      <c r="B88" s="8"/>
      <c r="C88" s="41" t="s">
        <v>187</v>
      </c>
      <c r="D88" s="10" t="s">
        <v>56</v>
      </c>
      <c r="E88" s="37" t="s">
        <v>9</v>
      </c>
      <c r="F88" s="37" t="s">
        <v>271</v>
      </c>
      <c r="G88" s="40" t="s">
        <v>8</v>
      </c>
      <c r="H88" s="117">
        <v>1</v>
      </c>
      <c r="I88" s="70">
        <f>7860*(O3*(1.32-2*0.025)*(M88+Q88))*1.5+7860*(O3*(0.78-2*0.025)*U88)*2</f>
        <v>18.711182273996538</v>
      </c>
      <c r="J88" s="71">
        <f>1.15*(7860*(Q3*(4.03+3.92)*O88))*1.5+1.15*(7860*(R3*2.64*W88))*2</f>
        <v>128.57812426337441</v>
      </c>
      <c r="L88" s="85">
        <f>4.03/0.25</f>
        <v>16.12</v>
      </c>
      <c r="M88" s="86">
        <v>18</v>
      </c>
      <c r="N88" s="85">
        <f>(1.32-2*0.025)/0.12</f>
        <v>10.583333333333334</v>
      </c>
      <c r="O88" s="86">
        <v>12</v>
      </c>
      <c r="P88">
        <f>3.92/0.25</f>
        <v>15.68</v>
      </c>
      <c r="Q88">
        <v>17</v>
      </c>
      <c r="T88" s="6">
        <f>(2.64-2*0.025)/0.25</f>
        <v>10.360000000000001</v>
      </c>
      <c r="U88" s="6">
        <v>12</v>
      </c>
      <c r="V88">
        <f>(0.78-2*0.025)/0.2</f>
        <v>3.65</v>
      </c>
      <c r="W88">
        <v>5</v>
      </c>
    </row>
    <row r="89" spans="2:23" x14ac:dyDescent="0.25">
      <c r="B89" s="8"/>
      <c r="C89" s="9" t="s">
        <v>188</v>
      </c>
      <c r="D89" s="10" t="s">
        <v>63</v>
      </c>
      <c r="E89" s="37" t="s">
        <v>9</v>
      </c>
      <c r="F89" s="10" t="s">
        <v>190</v>
      </c>
      <c r="G89" s="38">
        <v>3.14</v>
      </c>
      <c r="H89" s="111">
        <v>1</v>
      </c>
      <c r="I89" s="70">
        <f>7860*O3*(2*(0.24+0.38)+2*0.1-8*0.025)*M89</f>
        <v>5.2358863872600327</v>
      </c>
      <c r="J89" s="71">
        <f>1.15*(7860*(T3*G89*O89))+1.15*(7860*(R3*G89*Q89))</f>
        <v>17.833225565361232</v>
      </c>
      <c r="L89" s="85">
        <f>(G89-2*0.25)/0.15</f>
        <v>17.600000000000001</v>
      </c>
      <c r="M89" s="86">
        <v>19</v>
      </c>
      <c r="N89" s="85"/>
      <c r="O89" s="86">
        <f>2</f>
        <v>2</v>
      </c>
      <c r="P89" s="6"/>
      <c r="Q89" s="6">
        <f>2</f>
        <v>2</v>
      </c>
    </row>
    <row r="90" spans="2:23" x14ac:dyDescent="0.25">
      <c r="B90" s="8"/>
      <c r="C90" s="9" t="s">
        <v>189</v>
      </c>
      <c r="D90" s="10" t="s">
        <v>63</v>
      </c>
      <c r="E90" s="37" t="s">
        <v>9</v>
      </c>
      <c r="F90" s="10" t="s">
        <v>191</v>
      </c>
      <c r="G90" s="101">
        <v>2.64</v>
      </c>
      <c r="H90" s="111">
        <v>1</v>
      </c>
      <c r="I90" s="70">
        <f>7860*O3*(2*(0.54+0.2)+2*0.1-6*0.025)*M90*2</f>
        <v>12.920816407270724</v>
      </c>
      <c r="J90" s="71">
        <f>1.15*(7860*(R3*G90*O90))</f>
        <v>29.687209132247208</v>
      </c>
      <c r="L90" s="85">
        <f>(G90)/0.15</f>
        <v>17.600000000000001</v>
      </c>
      <c r="M90" s="86">
        <v>19</v>
      </c>
      <c r="N90" s="85"/>
      <c r="O90" s="86">
        <f>4+7</f>
        <v>11</v>
      </c>
    </row>
    <row r="91" spans="2:23" x14ac:dyDescent="0.25">
      <c r="C91" s="155"/>
      <c r="D91" s="156"/>
      <c r="E91" s="156"/>
      <c r="F91" s="156"/>
      <c r="G91" s="156"/>
      <c r="H91" s="156"/>
      <c r="I91" s="70"/>
      <c r="J91" s="71"/>
      <c r="L91" s="78"/>
      <c r="M91" s="75"/>
      <c r="N91" s="78"/>
      <c r="O91" s="75"/>
    </row>
    <row r="92" spans="2:23" ht="45" x14ac:dyDescent="0.25">
      <c r="C92" s="41" t="s">
        <v>447</v>
      </c>
      <c r="D92" s="10" t="s">
        <v>444</v>
      </c>
      <c r="E92" s="37" t="s">
        <v>445</v>
      </c>
      <c r="F92" s="37" t="s">
        <v>456</v>
      </c>
      <c r="G92" s="38">
        <v>1.83</v>
      </c>
      <c r="H92" s="111">
        <v>1</v>
      </c>
      <c r="I92" s="70"/>
      <c r="J92" s="71"/>
      <c r="L92" s="78"/>
      <c r="M92" s="75"/>
      <c r="N92" s="78"/>
      <c r="O92" s="75"/>
    </row>
    <row r="93" spans="2:23" x14ac:dyDescent="0.25">
      <c r="C93" s="157"/>
      <c r="D93" s="158"/>
      <c r="E93" s="158"/>
      <c r="F93" s="158"/>
      <c r="G93" s="158"/>
      <c r="H93" s="158"/>
      <c r="I93" s="70"/>
      <c r="J93" s="71"/>
      <c r="L93" s="78"/>
      <c r="M93" s="75"/>
      <c r="N93" s="78"/>
      <c r="O93" s="75"/>
    </row>
    <row r="94" spans="2:23" ht="60.75" thickBot="1" x14ac:dyDescent="0.3">
      <c r="C94" s="55" t="s">
        <v>454</v>
      </c>
      <c r="D94" s="56" t="s">
        <v>453</v>
      </c>
      <c r="E94" s="43" t="s">
        <v>445</v>
      </c>
      <c r="F94" s="43" t="s">
        <v>628</v>
      </c>
      <c r="G94" s="57" t="s">
        <v>8</v>
      </c>
      <c r="H94" s="118">
        <v>1</v>
      </c>
      <c r="I94" s="72"/>
      <c r="J94" s="73"/>
      <c r="L94" s="81"/>
      <c r="M94" s="82"/>
      <c r="N94" s="81"/>
      <c r="O94" s="82"/>
    </row>
    <row r="95" spans="2:23" ht="15.75" thickBot="1" x14ac:dyDescent="0.3">
      <c r="C95" s="126" t="s">
        <v>648</v>
      </c>
      <c r="D95" s="126"/>
      <c r="E95" s="126"/>
      <c r="F95" s="126"/>
      <c r="G95" s="126"/>
      <c r="H95" s="126"/>
      <c r="I95" s="113">
        <f>SUM(I35:I94)</f>
        <v>840.84268455759161</v>
      </c>
      <c r="J95" s="114">
        <f>SUM(J35:J94)</f>
        <v>26193.588601345917</v>
      </c>
      <c r="L95" s="80"/>
      <c r="M95" s="80"/>
      <c r="N95" s="80"/>
      <c r="O95" s="80"/>
    </row>
    <row r="96" spans="2:23" x14ac:dyDescent="0.25">
      <c r="L96" s="80"/>
      <c r="M96" s="80"/>
      <c r="N96" s="80"/>
      <c r="O96" s="80"/>
    </row>
    <row r="97" spans="12:15" x14ac:dyDescent="0.25">
      <c r="L97" s="80"/>
      <c r="M97" s="80"/>
      <c r="N97" s="80"/>
      <c r="O97" s="80"/>
    </row>
    <row r="98" spans="12:15" x14ac:dyDescent="0.25">
      <c r="L98" s="80"/>
      <c r="M98" s="80"/>
      <c r="N98" s="80"/>
      <c r="O98" s="80"/>
    </row>
    <row r="99" spans="12:15" x14ac:dyDescent="0.25">
      <c r="L99" s="80"/>
      <c r="M99" s="80"/>
      <c r="N99" s="80"/>
      <c r="O99" s="80"/>
    </row>
    <row r="100" spans="12:15" x14ac:dyDescent="0.25">
      <c r="L100" s="80"/>
      <c r="M100" s="80"/>
      <c r="N100" s="80"/>
      <c r="O100" s="80"/>
    </row>
    <row r="101" spans="12:15" x14ac:dyDescent="0.25">
      <c r="L101" s="80"/>
      <c r="M101" s="80"/>
      <c r="N101" s="80"/>
      <c r="O101" s="80"/>
    </row>
    <row r="102" spans="12:15" x14ac:dyDescent="0.25">
      <c r="L102" s="80"/>
      <c r="M102" s="80"/>
      <c r="N102" s="80"/>
      <c r="O102" s="80"/>
    </row>
    <row r="103" spans="12:15" x14ac:dyDescent="0.25">
      <c r="L103" s="80"/>
      <c r="M103" s="80"/>
      <c r="N103" s="80"/>
      <c r="O103" s="80"/>
    </row>
    <row r="104" spans="12:15" x14ac:dyDescent="0.25">
      <c r="L104" s="80"/>
      <c r="M104" s="80"/>
      <c r="N104" s="80"/>
      <c r="O104" s="80"/>
    </row>
    <row r="105" spans="12:15" x14ac:dyDescent="0.25">
      <c r="L105" s="80"/>
      <c r="M105" s="80"/>
      <c r="N105" s="80"/>
      <c r="O105" s="80"/>
    </row>
    <row r="106" spans="12:15" x14ac:dyDescent="0.25">
      <c r="L106" s="80"/>
      <c r="M106" s="80"/>
      <c r="N106" s="80"/>
      <c r="O106" s="80"/>
    </row>
    <row r="107" spans="12:15" x14ac:dyDescent="0.25">
      <c r="L107" s="80"/>
      <c r="M107" s="80"/>
      <c r="N107" s="80"/>
      <c r="O107" s="80"/>
    </row>
    <row r="108" spans="12:15" x14ac:dyDescent="0.25">
      <c r="L108" s="80"/>
      <c r="M108" s="80"/>
      <c r="N108" s="80"/>
      <c r="O108" s="80"/>
    </row>
    <row r="109" spans="12:15" x14ac:dyDescent="0.25">
      <c r="L109" s="80"/>
      <c r="M109" s="80"/>
      <c r="N109" s="80"/>
      <c r="O109" s="80"/>
    </row>
    <row r="110" spans="12:15" x14ac:dyDescent="0.25">
      <c r="L110" s="80"/>
      <c r="M110" s="80"/>
      <c r="N110" s="80"/>
      <c r="O110" s="80"/>
    </row>
    <row r="111" spans="12:15" x14ac:dyDescent="0.25">
      <c r="L111" s="80"/>
      <c r="M111" s="80"/>
      <c r="N111" s="80"/>
      <c r="O111" s="80"/>
    </row>
    <row r="112" spans="12:15" x14ac:dyDescent="0.25">
      <c r="L112" s="80"/>
      <c r="M112" s="80"/>
      <c r="N112" s="80"/>
      <c r="O112" s="80"/>
    </row>
    <row r="113" spans="12:15" x14ac:dyDescent="0.25">
      <c r="L113" s="80"/>
      <c r="M113" s="80"/>
      <c r="N113" s="80"/>
      <c r="O113" s="80"/>
    </row>
    <row r="114" spans="12:15" x14ac:dyDescent="0.25">
      <c r="L114" s="80"/>
      <c r="M114" s="80"/>
      <c r="N114" s="80"/>
      <c r="O114" s="80"/>
    </row>
    <row r="115" spans="12:15" x14ac:dyDescent="0.25">
      <c r="L115" s="80"/>
      <c r="M115" s="80"/>
      <c r="N115" s="80"/>
      <c r="O115" s="80"/>
    </row>
    <row r="116" spans="12:15" x14ac:dyDescent="0.25">
      <c r="L116" s="80"/>
      <c r="M116" s="80"/>
      <c r="N116" s="80"/>
      <c r="O116" s="80"/>
    </row>
    <row r="117" spans="12:15" x14ac:dyDescent="0.25">
      <c r="L117" s="80"/>
      <c r="M117" s="80"/>
      <c r="N117" s="80"/>
      <c r="O117" s="80"/>
    </row>
    <row r="118" spans="12:15" x14ac:dyDescent="0.25">
      <c r="L118" s="80"/>
      <c r="M118" s="80"/>
      <c r="N118" s="80"/>
      <c r="O118" s="80"/>
    </row>
    <row r="119" spans="12:15" x14ac:dyDescent="0.25">
      <c r="L119" s="80"/>
      <c r="M119" s="80"/>
      <c r="N119" s="80"/>
      <c r="O119" s="80"/>
    </row>
    <row r="120" spans="12:15" x14ac:dyDescent="0.25">
      <c r="L120" s="80"/>
      <c r="M120" s="80"/>
      <c r="N120" s="80"/>
      <c r="O120" s="80"/>
    </row>
    <row r="121" spans="12:15" x14ac:dyDescent="0.25">
      <c r="L121" s="80"/>
      <c r="M121" s="80"/>
      <c r="N121" s="80"/>
      <c r="O121" s="80"/>
    </row>
    <row r="122" spans="12:15" x14ac:dyDescent="0.25">
      <c r="L122" s="80"/>
      <c r="M122" s="80"/>
      <c r="N122" s="80"/>
      <c r="O122" s="80"/>
    </row>
    <row r="123" spans="12:15" x14ac:dyDescent="0.25">
      <c r="L123" s="80"/>
      <c r="M123" s="80"/>
      <c r="N123" s="80"/>
      <c r="O123" s="80"/>
    </row>
    <row r="124" spans="12:15" x14ac:dyDescent="0.25">
      <c r="L124" s="80"/>
      <c r="M124" s="80"/>
      <c r="N124" s="80"/>
      <c r="O124" s="80"/>
    </row>
    <row r="125" spans="12:15" x14ac:dyDescent="0.25">
      <c r="L125" s="80"/>
      <c r="M125" s="80"/>
      <c r="N125" s="80"/>
      <c r="O125" s="80"/>
    </row>
    <row r="126" spans="12:15" x14ac:dyDescent="0.25">
      <c r="L126" s="80"/>
      <c r="M126" s="80"/>
      <c r="N126" s="80"/>
      <c r="O126" s="80"/>
    </row>
    <row r="127" spans="12:15" x14ac:dyDescent="0.25">
      <c r="L127" s="80"/>
      <c r="M127" s="80"/>
      <c r="N127" s="80"/>
      <c r="O127" s="80"/>
    </row>
    <row r="128" spans="12:15" x14ac:dyDescent="0.25">
      <c r="L128" s="80"/>
      <c r="M128" s="80"/>
      <c r="N128" s="80"/>
      <c r="O128" s="80"/>
    </row>
    <row r="129" spans="12:15" x14ac:dyDescent="0.25">
      <c r="L129" s="80"/>
      <c r="M129" s="80"/>
      <c r="N129" s="80"/>
      <c r="O129" s="80"/>
    </row>
    <row r="130" spans="12:15" x14ac:dyDescent="0.25">
      <c r="L130" s="80"/>
      <c r="M130" s="80"/>
      <c r="N130" s="80"/>
      <c r="O130" s="80"/>
    </row>
    <row r="131" spans="12:15" x14ac:dyDescent="0.25">
      <c r="L131" s="80"/>
      <c r="M131" s="80"/>
      <c r="N131" s="80"/>
      <c r="O131" s="80"/>
    </row>
    <row r="132" spans="12:15" x14ac:dyDescent="0.25">
      <c r="L132" s="80"/>
      <c r="M132" s="80"/>
      <c r="N132" s="80"/>
      <c r="O132" s="80"/>
    </row>
    <row r="133" spans="12:15" x14ac:dyDescent="0.25">
      <c r="L133" s="80"/>
      <c r="M133" s="80"/>
      <c r="N133" s="80"/>
      <c r="O133" s="80"/>
    </row>
  </sheetData>
  <mergeCells count="15">
    <mergeCell ref="I32:J32"/>
    <mergeCell ref="C95:H95"/>
    <mergeCell ref="C47:H47"/>
    <mergeCell ref="C2:H2"/>
    <mergeCell ref="C32:H32"/>
    <mergeCell ref="C34:H34"/>
    <mergeCell ref="C39:H39"/>
    <mergeCell ref="C44:H44"/>
    <mergeCell ref="C91:H91"/>
    <mergeCell ref="C93:H93"/>
    <mergeCell ref="C56:H56"/>
    <mergeCell ref="C60:H60"/>
    <mergeCell ref="C76:H76"/>
    <mergeCell ref="C79:H79"/>
    <mergeCell ref="C87:H87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3B2F5-94F6-48C6-BB81-B94A777BA635}">
  <dimension ref="B1:W60"/>
  <sheetViews>
    <sheetView tabSelected="1" topLeftCell="A29" workbookViewId="0">
      <selection activeCell="J57" sqref="J57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42578125" customWidth="1"/>
  </cols>
  <sheetData>
    <row r="1" spans="2:22" x14ac:dyDescent="0.25">
      <c r="B1" s="8"/>
      <c r="C1" s="32"/>
      <c r="D1" s="33"/>
      <c r="E1" s="34"/>
      <c r="F1" s="33"/>
      <c r="G1" s="35"/>
      <c r="H1" s="32"/>
    </row>
    <row r="2" spans="2:22" x14ac:dyDescent="0.25">
      <c r="B2" s="8"/>
      <c r="C2" s="32"/>
      <c r="D2" s="33"/>
      <c r="E2" s="34"/>
      <c r="F2" s="33"/>
      <c r="G2" s="35"/>
      <c r="H2" s="32"/>
      <c r="O2" s="67" t="str">
        <f>F!O2</f>
        <v>6 [m2]</v>
      </c>
      <c r="P2" s="67" t="str">
        <f>F!P2</f>
        <v>8 [m2]</v>
      </c>
      <c r="Q2" s="67" t="str">
        <f>F!Q2</f>
        <v>10 [m2]</v>
      </c>
      <c r="R2" s="67" t="str">
        <f>F!R2</f>
        <v>12 [m2]</v>
      </c>
      <c r="S2" s="67" t="str">
        <f>F!S2</f>
        <v>14 [m2]</v>
      </c>
      <c r="T2" s="67" t="str">
        <f>F!T2</f>
        <v>16 [m2]</v>
      </c>
      <c r="U2" s="67" t="str">
        <f>F!U2</f>
        <v>20 [m2]</v>
      </c>
      <c r="V2" s="67" t="str">
        <f>F!V2</f>
        <v>24 [m2]</v>
      </c>
    </row>
    <row r="3" spans="2:22" ht="15.75" thickBot="1" x14ac:dyDescent="0.3">
      <c r="B3" s="8"/>
      <c r="C3" s="32"/>
      <c r="D3" s="33"/>
      <c r="E3" s="34"/>
      <c r="F3" s="33"/>
      <c r="G3" s="35"/>
      <c r="H3" s="32"/>
      <c r="O3" s="67">
        <f>F!O3</f>
        <v>2.8274333882308137E-5</v>
      </c>
      <c r="P3" s="67">
        <f>F!P3</f>
        <v>5.0265482457436686E-5</v>
      </c>
      <c r="Q3" s="67">
        <f>F!Q3</f>
        <v>7.8539816339744827E-5</v>
      </c>
      <c r="R3" s="67">
        <f>F!R3</f>
        <v>1.1309733552923255E-4</v>
      </c>
      <c r="S3" s="67">
        <f>F!S3</f>
        <v>1.5393804002589989E-4</v>
      </c>
      <c r="T3" s="67">
        <f>F!T3</f>
        <v>2.0106192982974675E-4</v>
      </c>
      <c r="U3" s="67">
        <f>F!U3</f>
        <v>3.1415926535897931E-4</v>
      </c>
      <c r="V3" s="67">
        <f>F!V3</f>
        <v>4.523893421169302E-4</v>
      </c>
    </row>
    <row r="4" spans="2:22" ht="15.75" thickBot="1" x14ac:dyDescent="0.3">
      <c r="B4" s="8"/>
      <c r="C4" s="131" t="s">
        <v>3</v>
      </c>
      <c r="D4" s="132"/>
      <c r="E4" s="132"/>
      <c r="F4" s="132"/>
      <c r="G4" s="132"/>
      <c r="H4" s="135"/>
      <c r="I4" s="124" t="s">
        <v>647</v>
      </c>
      <c r="J4" s="125"/>
      <c r="L4" s="2" t="s">
        <v>305</v>
      </c>
    </row>
    <row r="5" spans="2:22" ht="26.25" thickBot="1" x14ac:dyDescent="0.3">
      <c r="B5" s="8"/>
      <c r="C5" s="45" t="s">
        <v>2</v>
      </c>
      <c r="D5" s="46" t="s">
        <v>0</v>
      </c>
      <c r="E5" s="47" t="s">
        <v>4</v>
      </c>
      <c r="F5" s="47" t="s">
        <v>5</v>
      </c>
      <c r="G5" s="47" t="s">
        <v>1</v>
      </c>
      <c r="H5" s="48" t="s">
        <v>6</v>
      </c>
      <c r="I5" s="98" t="s">
        <v>649</v>
      </c>
      <c r="J5" s="99" t="s">
        <v>650</v>
      </c>
      <c r="L5" s="2"/>
    </row>
    <row r="6" spans="2:22" x14ac:dyDescent="0.25">
      <c r="B6" s="8"/>
      <c r="C6" s="133"/>
      <c r="D6" s="134"/>
      <c r="E6" s="134"/>
      <c r="F6" s="134"/>
      <c r="G6" s="134"/>
      <c r="H6" s="134"/>
      <c r="I6" s="68"/>
      <c r="J6" s="69"/>
    </row>
    <row r="7" spans="2:22" ht="30" x14ac:dyDescent="0.25">
      <c r="B7" s="8"/>
      <c r="C7" s="14" t="s">
        <v>306</v>
      </c>
      <c r="D7" s="36" t="s">
        <v>165</v>
      </c>
      <c r="E7" s="11" t="s">
        <v>8</v>
      </c>
      <c r="F7" s="10" t="s">
        <v>269</v>
      </c>
      <c r="G7" s="38">
        <v>1.4</v>
      </c>
      <c r="H7" s="110">
        <v>5</v>
      </c>
      <c r="I7" s="70"/>
      <c r="J7" s="71"/>
      <c r="L7" s="83"/>
      <c r="M7" s="84"/>
      <c r="N7" s="83"/>
      <c r="O7" s="84"/>
    </row>
    <row r="8" spans="2:22" x14ac:dyDescent="0.25">
      <c r="B8" s="8"/>
      <c r="C8" s="150"/>
      <c r="D8" s="151"/>
      <c r="E8" s="151"/>
      <c r="F8" s="151"/>
      <c r="G8" s="151"/>
      <c r="H8" s="151"/>
      <c r="I8" s="70"/>
      <c r="J8" s="71"/>
      <c r="L8" s="78"/>
      <c r="M8" s="75"/>
      <c r="N8" s="78"/>
      <c r="O8" s="75"/>
    </row>
    <row r="9" spans="2:22" x14ac:dyDescent="0.25">
      <c r="B9" s="8"/>
      <c r="C9" s="14" t="s">
        <v>307</v>
      </c>
      <c r="D9" s="36" t="s">
        <v>266</v>
      </c>
      <c r="E9" s="37" t="s">
        <v>9</v>
      </c>
      <c r="F9" s="10" t="s">
        <v>64</v>
      </c>
      <c r="G9" s="38">
        <v>2.2000000000000002</v>
      </c>
      <c r="H9" s="110">
        <v>1</v>
      </c>
      <c r="I9" s="70">
        <f>7860*O3*(2*(0.25+0.3)+2*0.1-8*0.025)*M9*H9</f>
        <v>2.4445989074643619</v>
      </c>
      <c r="J9" s="71">
        <f>1.15*(7860*(R3*G9*O9))*H9</f>
        <v>8.9961239794688499</v>
      </c>
      <c r="L9" s="85">
        <f>(G9-0.5)/0.2</f>
        <v>8.5</v>
      </c>
      <c r="M9" s="86">
        <v>10</v>
      </c>
      <c r="N9" s="85"/>
      <c r="O9" s="86">
        <f>2+2</f>
        <v>4</v>
      </c>
    </row>
    <row r="10" spans="2:22" x14ac:dyDescent="0.25">
      <c r="B10" s="8"/>
      <c r="C10" s="14" t="s">
        <v>308</v>
      </c>
      <c r="D10" s="36" t="s">
        <v>266</v>
      </c>
      <c r="E10" s="37" t="s">
        <v>9</v>
      </c>
      <c r="F10" s="10" t="s">
        <v>264</v>
      </c>
      <c r="G10" s="38">
        <v>1.5</v>
      </c>
      <c r="H10" s="110">
        <v>1</v>
      </c>
      <c r="I10" s="70">
        <f>7860*O3*(2*(0.24+0.24)+2*0.1-8*0.025)*M10*H10</f>
        <v>1.7067745099387541</v>
      </c>
      <c r="J10" s="71">
        <f>1.15*(7860*(R3*G10*O10))*H10</f>
        <v>6.1337208950923978</v>
      </c>
      <c r="L10" s="85">
        <f>(G10-0.5)/0.15</f>
        <v>6.666666666666667</v>
      </c>
      <c r="M10" s="86">
        <v>8</v>
      </c>
      <c r="N10" s="85"/>
      <c r="O10" s="86">
        <f t="shared" ref="O10:O11" si="0">2+2</f>
        <v>4</v>
      </c>
    </row>
    <row r="11" spans="2:22" x14ac:dyDescent="0.25">
      <c r="B11" s="8"/>
      <c r="C11" s="9" t="s">
        <v>309</v>
      </c>
      <c r="D11" s="36" t="s">
        <v>266</v>
      </c>
      <c r="E11" s="37" t="s">
        <v>9</v>
      </c>
      <c r="F11" s="10" t="s">
        <v>264</v>
      </c>
      <c r="G11" s="38">
        <v>1.75</v>
      </c>
      <c r="H11" s="110">
        <v>1</v>
      </c>
      <c r="I11" s="70">
        <f>7860*O3*(2*(0.24+0.24)+2*0.1-8*0.025)*M11*H11</f>
        <v>2.1334681374234425</v>
      </c>
      <c r="J11" s="71">
        <f>1.15*(7860*(R3*G11*O11))*H11</f>
        <v>7.1560077109411298</v>
      </c>
      <c r="L11" s="85">
        <f>(G11-0.5)/0.15</f>
        <v>8.3333333333333339</v>
      </c>
      <c r="M11" s="86">
        <v>10</v>
      </c>
      <c r="N11" s="85"/>
      <c r="O11" s="86">
        <f t="shared" si="0"/>
        <v>4</v>
      </c>
    </row>
    <row r="12" spans="2:22" x14ac:dyDescent="0.25">
      <c r="B12" s="8"/>
      <c r="C12" s="150"/>
      <c r="D12" s="151"/>
      <c r="E12" s="151"/>
      <c r="F12" s="151"/>
      <c r="G12" s="151"/>
      <c r="H12" s="151"/>
      <c r="I12" s="70"/>
      <c r="J12" s="71"/>
      <c r="L12" s="85"/>
      <c r="M12" s="86"/>
      <c r="N12" s="85"/>
      <c r="O12" s="86"/>
    </row>
    <row r="13" spans="2:22" x14ac:dyDescent="0.25">
      <c r="B13" s="8"/>
      <c r="C13" s="9" t="s">
        <v>310</v>
      </c>
      <c r="D13" s="10" t="s">
        <v>7</v>
      </c>
      <c r="E13" s="37" t="s">
        <v>9</v>
      </c>
      <c r="F13" s="10" t="s">
        <v>270</v>
      </c>
      <c r="G13" s="20">
        <v>2.2000000000000002</v>
      </c>
      <c r="H13" s="62">
        <v>1</v>
      </c>
      <c r="I13" s="93">
        <f>7860*O3*(2*(0.16+0.35)+2*0.1-6*0.025)*M13*2</f>
        <v>6.1826128732416841</v>
      </c>
      <c r="J13" s="87">
        <f>1.15*(7860*(T3*G13*O13))</f>
        <v>31.986218593667022</v>
      </c>
      <c r="L13" s="78">
        <f>(G13-2*0.25)/0.15</f>
        <v>11.333333333333336</v>
      </c>
      <c r="M13" s="75">
        <v>13</v>
      </c>
      <c r="N13" s="78"/>
      <c r="O13" s="75">
        <f>4+4</f>
        <v>8</v>
      </c>
    </row>
    <row r="14" spans="2:22" x14ac:dyDescent="0.25">
      <c r="B14" s="8"/>
      <c r="C14" s="150"/>
      <c r="D14" s="151"/>
      <c r="E14" s="151"/>
      <c r="F14" s="151"/>
      <c r="G14" s="151"/>
      <c r="H14" s="151"/>
      <c r="I14" s="70"/>
      <c r="J14" s="71"/>
      <c r="L14" s="85"/>
      <c r="M14" s="86"/>
      <c r="N14" s="85"/>
      <c r="O14" s="86"/>
    </row>
    <row r="15" spans="2:22" x14ac:dyDescent="0.25">
      <c r="B15" s="8"/>
      <c r="C15" s="9" t="s">
        <v>311</v>
      </c>
      <c r="D15" s="10" t="s">
        <v>52</v>
      </c>
      <c r="E15" s="37" t="s">
        <v>9</v>
      </c>
      <c r="F15" s="10" t="s">
        <v>155</v>
      </c>
      <c r="G15" s="21">
        <v>6.5</v>
      </c>
      <c r="H15" s="62">
        <v>1</v>
      </c>
      <c r="I15" s="70">
        <f>'2'!I15</f>
        <v>24.605999184950374</v>
      </c>
      <c r="J15" s="71">
        <f>'2'!J15</f>
        <v>105.4091294564027</v>
      </c>
      <c r="L15" s="85"/>
      <c r="M15" s="86"/>
      <c r="N15" s="85"/>
      <c r="O15" s="86"/>
    </row>
    <row r="16" spans="2:22" x14ac:dyDescent="0.25">
      <c r="B16" s="8"/>
      <c r="C16" s="9" t="s">
        <v>312</v>
      </c>
      <c r="D16" s="10" t="s">
        <v>52</v>
      </c>
      <c r="E16" s="37" t="s">
        <v>9</v>
      </c>
      <c r="F16" s="10" t="s">
        <v>155</v>
      </c>
      <c r="G16" s="21">
        <v>9.4499999999999993</v>
      </c>
      <c r="H16" s="62">
        <v>1</v>
      </c>
      <c r="I16" s="70">
        <f>'2'!I16</f>
        <v>32.295373930247365</v>
      </c>
      <c r="J16" s="71">
        <f>'2'!J16</f>
        <v>137.39534805006969</v>
      </c>
      <c r="L16" s="85"/>
      <c r="M16" s="86"/>
      <c r="N16" s="85"/>
      <c r="O16" s="86"/>
    </row>
    <row r="17" spans="2:17" x14ac:dyDescent="0.25">
      <c r="B17" s="8"/>
      <c r="C17" s="9" t="s">
        <v>313</v>
      </c>
      <c r="D17" s="10" t="s">
        <v>52</v>
      </c>
      <c r="E17" s="37" t="s">
        <v>9</v>
      </c>
      <c r="F17" s="10" t="s">
        <v>155</v>
      </c>
      <c r="G17" s="21">
        <v>11.9</v>
      </c>
      <c r="H17" s="62">
        <v>1</v>
      </c>
      <c r="I17" s="70">
        <f>'2'!I17</f>
        <v>44.598373522722554</v>
      </c>
      <c r="J17" s="71">
        <f>'2'!J17</f>
        <v>187.21479220909796</v>
      </c>
      <c r="L17" s="78"/>
      <c r="M17" s="75"/>
      <c r="N17" s="78"/>
      <c r="O17" s="75"/>
    </row>
    <row r="18" spans="2:17" x14ac:dyDescent="0.25">
      <c r="B18" s="8"/>
      <c r="C18" s="9" t="s">
        <v>314</v>
      </c>
      <c r="D18" s="10" t="s">
        <v>52</v>
      </c>
      <c r="E18" s="37" t="s">
        <v>9</v>
      </c>
      <c r="F18" s="10" t="s">
        <v>155</v>
      </c>
      <c r="G18" s="21">
        <v>22.1</v>
      </c>
      <c r="H18" s="62">
        <v>1</v>
      </c>
      <c r="I18" s="70">
        <f>'2'!I18</f>
        <v>76.124809978440226</v>
      </c>
      <c r="J18" s="71">
        <f>'2'!J18</f>
        <v>294.41860296443514</v>
      </c>
      <c r="L18" s="78"/>
      <c r="M18" s="75"/>
      <c r="N18" s="78"/>
      <c r="O18" s="75"/>
    </row>
    <row r="19" spans="2:17" x14ac:dyDescent="0.25">
      <c r="B19" s="8"/>
      <c r="C19" s="9" t="s">
        <v>315</v>
      </c>
      <c r="D19" s="10" t="s">
        <v>52</v>
      </c>
      <c r="E19" s="37" t="s">
        <v>9</v>
      </c>
      <c r="F19" s="10" t="s">
        <v>155</v>
      </c>
      <c r="G19" s="21">
        <v>18.149999999999999</v>
      </c>
      <c r="H19" s="62">
        <v>1</v>
      </c>
      <c r="I19" s="70">
        <f>'2'!I19</f>
        <v>67.666497758613531</v>
      </c>
      <c r="J19" s="71">
        <f>'2'!J19</f>
        <v>311.25225919874418</v>
      </c>
      <c r="L19" s="78"/>
      <c r="M19" s="75"/>
      <c r="N19" s="78"/>
      <c r="O19" s="75"/>
    </row>
    <row r="20" spans="2:17" x14ac:dyDescent="0.25">
      <c r="B20" s="8"/>
      <c r="C20" s="9" t="s">
        <v>316</v>
      </c>
      <c r="D20" s="10" t="s">
        <v>52</v>
      </c>
      <c r="E20" s="37" t="s">
        <v>9</v>
      </c>
      <c r="F20" s="10" t="s">
        <v>155</v>
      </c>
      <c r="G20" s="21">
        <v>11.18</v>
      </c>
      <c r="H20" s="62">
        <v>1</v>
      </c>
      <c r="I20" s="70">
        <f>'2'!I20</f>
        <v>38.446873726484959</v>
      </c>
      <c r="J20" s="71">
        <f>'2'!J20</f>
        <v>169.81774235183218</v>
      </c>
      <c r="L20" s="78"/>
      <c r="M20" s="75"/>
      <c r="N20" s="78"/>
      <c r="O20" s="75"/>
    </row>
    <row r="21" spans="2:17" x14ac:dyDescent="0.25">
      <c r="B21" s="8"/>
      <c r="C21" s="9" t="s">
        <v>317</v>
      </c>
      <c r="D21" s="10" t="s">
        <v>52</v>
      </c>
      <c r="E21" s="37" t="s">
        <v>9</v>
      </c>
      <c r="F21" s="10" t="s">
        <v>155</v>
      </c>
      <c r="G21" s="21">
        <v>11.85</v>
      </c>
      <c r="H21" s="62">
        <v>1</v>
      </c>
      <c r="I21" s="70">
        <f>'2'!I21</f>
        <v>44.598373522722554</v>
      </c>
      <c r="J21" s="71">
        <f>'2'!J21</f>
        <v>181.37639861636185</v>
      </c>
      <c r="L21" s="78"/>
      <c r="M21" s="75"/>
      <c r="N21" s="78"/>
      <c r="O21" s="75"/>
    </row>
    <row r="22" spans="2:17" x14ac:dyDescent="0.25">
      <c r="B22" s="8"/>
      <c r="C22" s="9" t="s">
        <v>318</v>
      </c>
      <c r="D22" s="10" t="s">
        <v>52</v>
      </c>
      <c r="E22" s="37" t="s">
        <v>9</v>
      </c>
      <c r="F22" s="10" t="s">
        <v>155</v>
      </c>
      <c r="G22" s="21">
        <v>15.8</v>
      </c>
      <c r="H22" s="62">
        <v>1</v>
      </c>
      <c r="I22" s="70">
        <f>'2'!I22</f>
        <v>53.825623217078942</v>
      </c>
      <c r="J22" s="71">
        <f>'2'!J22</f>
        <v>238.80620018226404</v>
      </c>
      <c r="L22" s="85"/>
      <c r="M22" s="86"/>
      <c r="N22" s="85"/>
      <c r="O22" s="86"/>
      <c r="P22" s="6"/>
      <c r="Q22" s="6"/>
    </row>
    <row r="23" spans="2:17" x14ac:dyDescent="0.25">
      <c r="B23" s="8"/>
      <c r="C23" s="9" t="s">
        <v>352</v>
      </c>
      <c r="D23" s="10" t="s">
        <v>52</v>
      </c>
      <c r="E23" s="37" t="s">
        <v>9</v>
      </c>
      <c r="F23" s="10" t="s">
        <v>155</v>
      </c>
      <c r="G23" s="21">
        <v>6.2</v>
      </c>
      <c r="H23" s="62">
        <v>1</v>
      </c>
      <c r="I23" s="70">
        <f>'2'!I23</f>
        <v>23.068124235890977</v>
      </c>
      <c r="J23" s="71">
        <f>'2'!J23</f>
        <v>101.04737237544809</v>
      </c>
      <c r="L23" s="85"/>
      <c r="M23" s="86"/>
      <c r="N23" s="85"/>
      <c r="O23" s="86"/>
      <c r="P23" s="6"/>
      <c r="Q23" s="6"/>
    </row>
    <row r="24" spans="2:17" x14ac:dyDescent="0.25">
      <c r="B24" s="8"/>
      <c r="C24" s="9" t="s">
        <v>353</v>
      </c>
      <c r="D24" s="10" t="s">
        <v>52</v>
      </c>
      <c r="E24" s="37" t="s">
        <v>9</v>
      </c>
      <c r="F24" s="10" t="s">
        <v>155</v>
      </c>
      <c r="G24" s="21">
        <v>6.2</v>
      </c>
      <c r="H24" s="62">
        <v>1</v>
      </c>
      <c r="I24" s="70">
        <f>'2'!I24</f>
        <v>23.068124235890977</v>
      </c>
      <c r="J24" s="71">
        <f>'2'!J24</f>
        <v>115.49569270611019</v>
      </c>
      <c r="L24" s="85"/>
      <c r="M24" s="86"/>
      <c r="N24" s="85"/>
      <c r="O24" s="86"/>
      <c r="P24" s="6"/>
      <c r="Q24" s="6"/>
    </row>
    <row r="25" spans="2:17" x14ac:dyDescent="0.25">
      <c r="B25" s="8"/>
      <c r="C25" s="127"/>
      <c r="D25" s="128"/>
      <c r="E25" s="128"/>
      <c r="F25" s="128"/>
      <c r="G25" s="128"/>
      <c r="H25" s="128"/>
      <c r="I25" s="70"/>
      <c r="J25" s="71"/>
      <c r="L25" s="85"/>
      <c r="M25" s="86"/>
      <c r="N25" s="85"/>
      <c r="O25" s="86"/>
      <c r="P25" s="6"/>
      <c r="Q25" s="6"/>
    </row>
    <row r="26" spans="2:17" x14ac:dyDescent="0.25">
      <c r="B26" s="8"/>
      <c r="C26" s="9" t="s">
        <v>319</v>
      </c>
      <c r="D26" s="10" t="s">
        <v>10</v>
      </c>
      <c r="E26" s="37" t="s">
        <v>9</v>
      </c>
      <c r="F26" s="10" t="s">
        <v>89</v>
      </c>
      <c r="G26" s="21">
        <v>3.15</v>
      </c>
      <c r="H26" s="62">
        <v>7</v>
      </c>
      <c r="I26" s="70">
        <f>7860*O3*(2*(0.6+0.4)+2*0.1-6*0.025)*M26*2*H26</f>
        <v>82.916350215904856</v>
      </c>
      <c r="J26" s="71">
        <f>1.15*(7860*(U3*G26*O26))*H26</f>
        <v>626.15067470734903</v>
      </c>
      <c r="L26" s="78">
        <f>(G26-0.24)/0.25</f>
        <v>11.64</v>
      </c>
      <c r="M26" s="75">
        <v>13</v>
      </c>
      <c r="N26" s="78"/>
      <c r="O26" s="75">
        <f>5+5</f>
        <v>10</v>
      </c>
    </row>
    <row r="27" spans="2:17" x14ac:dyDescent="0.25">
      <c r="B27" s="8"/>
      <c r="C27" s="9" t="s">
        <v>320</v>
      </c>
      <c r="D27" s="10" t="s">
        <v>10</v>
      </c>
      <c r="E27" s="37" t="s">
        <v>9</v>
      </c>
      <c r="F27" s="10" t="s">
        <v>89</v>
      </c>
      <c r="G27" s="21">
        <v>3.15</v>
      </c>
      <c r="H27" s="62">
        <v>13</v>
      </c>
      <c r="I27" s="70">
        <f>7860*O3*(2*(0.6+0.4)+2*0.1-6*0.025)*M27*2*H27</f>
        <v>153.98750754382328</v>
      </c>
      <c r="J27" s="71">
        <f>1.15*(7860*(T3*G27*O27))*H27</f>
        <v>744.22480193787749</v>
      </c>
      <c r="L27" s="78">
        <f t="shared" ref="L27:L28" si="1">(G27-0.24)/0.25</f>
        <v>11.64</v>
      </c>
      <c r="M27" s="75">
        <v>13</v>
      </c>
      <c r="N27" s="78"/>
      <c r="O27" s="75">
        <f t="shared" ref="O27:O28" si="2">5+5</f>
        <v>10</v>
      </c>
    </row>
    <row r="28" spans="2:17" x14ac:dyDescent="0.25">
      <c r="B28" s="8"/>
      <c r="C28" s="9" t="s">
        <v>321</v>
      </c>
      <c r="D28" s="10" t="s">
        <v>10</v>
      </c>
      <c r="E28" s="37" t="s">
        <v>9</v>
      </c>
      <c r="F28" s="10" t="s">
        <v>89</v>
      </c>
      <c r="G28" s="21">
        <v>3.15</v>
      </c>
      <c r="H28" s="62">
        <v>6</v>
      </c>
      <c r="I28" s="70">
        <f>7860*O3*(2*(0.6+0.4)+2*0.1-6*0.025)*M28*2*H28</f>
        <v>71.071157327918442</v>
      </c>
      <c r="J28" s="71">
        <f>1.15*(7860*(T3*G28*O28))*H28</f>
        <v>343.48837012517424</v>
      </c>
      <c r="L28" s="78">
        <f t="shared" si="1"/>
        <v>11.64</v>
      </c>
      <c r="M28" s="75">
        <v>13</v>
      </c>
      <c r="N28" s="78"/>
      <c r="O28" s="75">
        <f t="shared" si="2"/>
        <v>10</v>
      </c>
    </row>
    <row r="29" spans="2:17" x14ac:dyDescent="0.25">
      <c r="B29" s="8"/>
      <c r="C29" s="127"/>
      <c r="D29" s="128"/>
      <c r="E29" s="128"/>
      <c r="F29" s="128"/>
      <c r="G29" s="128"/>
      <c r="H29" s="128"/>
      <c r="I29" s="70"/>
      <c r="J29" s="87"/>
      <c r="L29" s="78"/>
      <c r="M29" s="75"/>
      <c r="N29" s="78"/>
      <c r="O29" s="75"/>
    </row>
    <row r="30" spans="2:17" x14ac:dyDescent="0.25">
      <c r="B30" s="8"/>
      <c r="C30" s="95" t="s">
        <v>322</v>
      </c>
      <c r="D30" s="10" t="s">
        <v>15</v>
      </c>
      <c r="E30" s="37" t="s">
        <v>9</v>
      </c>
      <c r="F30" s="10" t="s">
        <v>16</v>
      </c>
      <c r="G30" s="38">
        <v>6.5</v>
      </c>
      <c r="H30" s="62">
        <v>1</v>
      </c>
      <c r="I30" s="107">
        <v>0</v>
      </c>
      <c r="J30" s="103">
        <f>16.4*(G30*3.15-1.22*2.26)</f>
        <v>290.57191999999992</v>
      </c>
      <c r="L30" s="78"/>
      <c r="M30" s="75"/>
      <c r="N30" s="78"/>
      <c r="O30" s="75"/>
    </row>
    <row r="31" spans="2:17" x14ac:dyDescent="0.25">
      <c r="B31" s="8"/>
      <c r="C31" s="95" t="s">
        <v>323</v>
      </c>
      <c r="D31" s="10" t="s">
        <v>15</v>
      </c>
      <c r="E31" s="37" t="s">
        <v>9</v>
      </c>
      <c r="F31" s="10" t="s">
        <v>16</v>
      </c>
      <c r="G31" s="38">
        <v>2.95</v>
      </c>
      <c r="H31" s="62">
        <v>1</v>
      </c>
      <c r="I31" s="107">
        <v>0</v>
      </c>
      <c r="J31" s="103">
        <f>16.4*(G31*3.15)</f>
        <v>152.39699999999999</v>
      </c>
      <c r="L31" s="78"/>
      <c r="M31" s="75"/>
      <c r="N31" s="78"/>
      <c r="O31" s="75"/>
    </row>
    <row r="32" spans="2:17" x14ac:dyDescent="0.25">
      <c r="B32" s="8"/>
      <c r="C32" s="95" t="s">
        <v>324</v>
      </c>
      <c r="D32" s="10" t="s">
        <v>15</v>
      </c>
      <c r="E32" s="37" t="s">
        <v>9</v>
      </c>
      <c r="F32" s="10" t="s">
        <v>16</v>
      </c>
      <c r="G32" s="38">
        <v>4.6500000000000004</v>
      </c>
      <c r="H32" s="62">
        <v>1</v>
      </c>
      <c r="I32" s="107">
        <v>0</v>
      </c>
      <c r="J32" s="103">
        <f>16.4*(G32*3.15)</f>
        <v>240.21899999999999</v>
      </c>
      <c r="L32" s="78"/>
      <c r="M32" s="75"/>
      <c r="N32" s="78"/>
      <c r="O32" s="75"/>
    </row>
    <row r="33" spans="2:15" x14ac:dyDescent="0.25">
      <c r="B33" s="8"/>
      <c r="C33" s="95" t="s">
        <v>325</v>
      </c>
      <c r="D33" s="10" t="s">
        <v>15</v>
      </c>
      <c r="E33" s="37" t="s">
        <v>9</v>
      </c>
      <c r="F33" s="10" t="s">
        <v>16</v>
      </c>
      <c r="G33" s="39">
        <v>6.5</v>
      </c>
      <c r="H33" s="62">
        <v>1</v>
      </c>
      <c r="I33" s="107">
        <v>0</v>
      </c>
      <c r="J33" s="103">
        <f>16.4*(G33*3.15)</f>
        <v>335.78999999999996</v>
      </c>
      <c r="L33" s="78"/>
      <c r="M33" s="75"/>
      <c r="N33" s="78"/>
      <c r="O33" s="75"/>
    </row>
    <row r="34" spans="2:15" x14ac:dyDescent="0.25">
      <c r="B34" s="8"/>
      <c r="C34" s="95" t="s">
        <v>326</v>
      </c>
      <c r="D34" s="10" t="s">
        <v>15</v>
      </c>
      <c r="E34" s="37" t="s">
        <v>9</v>
      </c>
      <c r="F34" s="10" t="s">
        <v>16</v>
      </c>
      <c r="G34" s="38">
        <v>11.18</v>
      </c>
      <c r="H34" s="62">
        <v>1</v>
      </c>
      <c r="I34" s="107">
        <v>0</v>
      </c>
      <c r="J34" s="103">
        <f>16.4*(G34*3.15-1.22*2.26)</f>
        <v>532.34071999999992</v>
      </c>
      <c r="L34" s="78"/>
      <c r="M34" s="75"/>
      <c r="N34" s="78"/>
      <c r="O34" s="75"/>
    </row>
    <row r="35" spans="2:15" x14ac:dyDescent="0.25">
      <c r="B35" s="8"/>
      <c r="C35" s="95" t="s">
        <v>327</v>
      </c>
      <c r="D35" s="10" t="s">
        <v>15</v>
      </c>
      <c r="E35" s="37" t="s">
        <v>9</v>
      </c>
      <c r="F35" s="10" t="s">
        <v>16</v>
      </c>
      <c r="G35" s="38">
        <v>4.1500000000000004</v>
      </c>
      <c r="H35" s="62">
        <v>1</v>
      </c>
      <c r="I35" s="107">
        <v>0</v>
      </c>
      <c r="J35" s="103">
        <f>16.4*(G35*3.15-1.18*2.33-1.18*2.33)</f>
        <v>124.20868000000003</v>
      </c>
      <c r="L35" s="78"/>
      <c r="M35" s="75"/>
      <c r="N35" s="78"/>
      <c r="O35" s="75"/>
    </row>
    <row r="36" spans="2:15" x14ac:dyDescent="0.25">
      <c r="B36" s="8"/>
      <c r="C36" s="95" t="s">
        <v>328</v>
      </c>
      <c r="D36" s="10" t="s">
        <v>15</v>
      </c>
      <c r="E36" s="37" t="s">
        <v>9</v>
      </c>
      <c r="F36" s="10" t="s">
        <v>16</v>
      </c>
      <c r="G36" s="38">
        <v>2.2000000000000002</v>
      </c>
      <c r="H36" s="62">
        <v>1</v>
      </c>
      <c r="I36" s="107">
        <v>0</v>
      </c>
      <c r="J36" s="103">
        <f>16.4*(G36*3.15)</f>
        <v>113.652</v>
      </c>
      <c r="L36" s="78"/>
      <c r="M36" s="75"/>
      <c r="N36" s="78"/>
      <c r="O36" s="75"/>
    </row>
    <row r="37" spans="2:15" x14ac:dyDescent="0.25">
      <c r="B37" s="8"/>
      <c r="C37" s="95" t="s">
        <v>329</v>
      </c>
      <c r="D37" s="10" t="s">
        <v>15</v>
      </c>
      <c r="E37" s="37" t="s">
        <v>9</v>
      </c>
      <c r="F37" s="10" t="s">
        <v>16</v>
      </c>
      <c r="G37" s="38">
        <v>2.2000000000000002</v>
      </c>
      <c r="H37" s="62">
        <v>1</v>
      </c>
      <c r="I37" s="107">
        <v>0</v>
      </c>
      <c r="J37" s="103">
        <f>16.4*(G37*3.15)</f>
        <v>113.652</v>
      </c>
      <c r="L37" s="78"/>
      <c r="M37" s="75"/>
      <c r="N37" s="78"/>
      <c r="O37" s="75"/>
    </row>
    <row r="38" spans="2:15" x14ac:dyDescent="0.25">
      <c r="B38" s="8"/>
      <c r="C38" s="95" t="s">
        <v>330</v>
      </c>
      <c r="D38" s="10" t="s">
        <v>15</v>
      </c>
      <c r="E38" s="37" t="s">
        <v>9</v>
      </c>
      <c r="F38" s="10" t="s">
        <v>16</v>
      </c>
      <c r="G38" s="38">
        <v>9.24</v>
      </c>
      <c r="H38" s="62">
        <v>1</v>
      </c>
      <c r="I38" s="107">
        <v>0</v>
      </c>
      <c r="J38" s="103">
        <f>16.4*(G38*3.15-1.7*3.15)</f>
        <v>389.51639999999992</v>
      </c>
      <c r="L38" s="78"/>
      <c r="M38" s="75"/>
      <c r="N38" s="78"/>
      <c r="O38" s="75"/>
    </row>
    <row r="39" spans="2:15" x14ac:dyDescent="0.25">
      <c r="B39" s="8"/>
      <c r="C39" s="95" t="s">
        <v>331</v>
      </c>
      <c r="D39" s="10" t="s">
        <v>15</v>
      </c>
      <c r="E39" s="37" t="s">
        <v>9</v>
      </c>
      <c r="F39" s="10" t="s">
        <v>16</v>
      </c>
      <c r="G39" s="38">
        <v>6.5</v>
      </c>
      <c r="H39" s="62">
        <v>1</v>
      </c>
      <c r="I39" s="107">
        <v>0</v>
      </c>
      <c r="J39" s="103">
        <f>16.4*(G39*3.15-1*2.23)</f>
        <v>299.2179999999999</v>
      </c>
      <c r="L39" s="78"/>
      <c r="M39" s="75"/>
      <c r="N39" s="78"/>
      <c r="O39" s="75"/>
    </row>
    <row r="40" spans="2:15" x14ac:dyDescent="0.25">
      <c r="B40" s="8"/>
      <c r="C40" s="95" t="s">
        <v>332</v>
      </c>
      <c r="D40" s="10" t="s">
        <v>15</v>
      </c>
      <c r="E40" s="37" t="s">
        <v>9</v>
      </c>
      <c r="F40" s="10" t="s">
        <v>16</v>
      </c>
      <c r="G40" s="38">
        <v>6.5</v>
      </c>
      <c r="H40" s="62">
        <v>1</v>
      </c>
      <c r="I40" s="107">
        <v>0</v>
      </c>
      <c r="J40" s="103">
        <f>16.4*(G40*3.15-0.9*2.23*4)</f>
        <v>204.13079999999994</v>
      </c>
      <c r="L40" s="78"/>
      <c r="M40" s="75"/>
      <c r="N40" s="78"/>
      <c r="O40" s="75"/>
    </row>
    <row r="41" spans="2:15" x14ac:dyDescent="0.25">
      <c r="B41" s="8"/>
      <c r="C41" s="127"/>
      <c r="D41" s="128"/>
      <c r="E41" s="128"/>
      <c r="F41" s="128"/>
      <c r="G41" s="128"/>
      <c r="H41" s="128"/>
      <c r="I41" s="70"/>
      <c r="J41" s="87"/>
      <c r="L41" s="78"/>
      <c r="M41" s="75"/>
      <c r="N41" s="78"/>
      <c r="O41" s="75"/>
    </row>
    <row r="42" spans="2:15" x14ac:dyDescent="0.25">
      <c r="B42" s="8"/>
      <c r="C42" s="9" t="s">
        <v>333</v>
      </c>
      <c r="D42" s="10" t="s">
        <v>17</v>
      </c>
      <c r="E42" s="37" t="s">
        <v>9</v>
      </c>
      <c r="F42" s="10" t="s">
        <v>60</v>
      </c>
      <c r="G42" s="40" t="s">
        <v>8</v>
      </c>
      <c r="H42" s="62">
        <v>1</v>
      </c>
      <c r="I42" s="70">
        <v>0</v>
      </c>
      <c r="J42" s="71">
        <f>1.15*(6328+177+116+61+59+4339+13+54+63+30+183+50+43+161+36+41+391+61+118+278+148+52+19+70+11+277+28+296+14+15+28+324)</f>
        <v>15966.599999999999</v>
      </c>
      <c r="L42" s="78"/>
      <c r="M42" s="75"/>
      <c r="N42" s="78"/>
      <c r="O42" s="75"/>
    </row>
    <row r="43" spans="2:15" x14ac:dyDescent="0.25">
      <c r="B43" s="8"/>
      <c r="C43" s="127"/>
      <c r="D43" s="128"/>
      <c r="E43" s="128"/>
      <c r="F43" s="128"/>
      <c r="G43" s="128"/>
      <c r="H43" s="128"/>
      <c r="I43" s="70"/>
      <c r="J43" s="71"/>
      <c r="L43" s="78"/>
      <c r="M43" s="75"/>
      <c r="N43" s="78"/>
      <c r="O43" s="75"/>
    </row>
    <row r="44" spans="2:15" x14ac:dyDescent="0.25">
      <c r="B44" s="8"/>
      <c r="C44" s="9" t="s">
        <v>334</v>
      </c>
      <c r="D44" s="10" t="s">
        <v>193</v>
      </c>
      <c r="E44" s="37" t="s">
        <v>9</v>
      </c>
      <c r="F44" s="10" t="s">
        <v>194</v>
      </c>
      <c r="G44" s="40" t="s">
        <v>8</v>
      </c>
      <c r="H44" s="62">
        <v>1</v>
      </c>
      <c r="I44" s="70">
        <v>0</v>
      </c>
      <c r="J44" s="71">
        <f>1.15*(98+282)</f>
        <v>436.99999999999994</v>
      </c>
      <c r="L44" s="78"/>
      <c r="M44" s="75"/>
      <c r="N44" s="78"/>
      <c r="O44" s="75"/>
    </row>
    <row r="45" spans="2:15" x14ac:dyDescent="0.25">
      <c r="B45" s="8"/>
      <c r="C45" s="9" t="s">
        <v>335</v>
      </c>
      <c r="D45" s="10" t="s">
        <v>193</v>
      </c>
      <c r="E45" s="37" t="s">
        <v>9</v>
      </c>
      <c r="F45" s="10" t="s">
        <v>194</v>
      </c>
      <c r="G45" s="40" t="s">
        <v>8</v>
      </c>
      <c r="H45" s="62">
        <v>1</v>
      </c>
      <c r="I45" s="70">
        <v>0</v>
      </c>
      <c r="J45" s="71">
        <f>1.15*(115+332)</f>
        <v>514.04999999999995</v>
      </c>
      <c r="L45" s="78"/>
      <c r="M45" s="75"/>
      <c r="N45" s="78"/>
      <c r="O45" s="75"/>
    </row>
    <row r="46" spans="2:15" x14ac:dyDescent="0.25">
      <c r="B46" s="8"/>
      <c r="C46" s="9" t="s">
        <v>336</v>
      </c>
      <c r="D46" s="10" t="s">
        <v>193</v>
      </c>
      <c r="E46" s="37" t="s">
        <v>9</v>
      </c>
      <c r="F46" s="10" t="s">
        <v>194</v>
      </c>
      <c r="G46" s="40" t="s">
        <v>8</v>
      </c>
      <c r="H46" s="62">
        <v>1</v>
      </c>
      <c r="I46" s="70">
        <v>0</v>
      </c>
      <c r="J46" s="71">
        <f>1.15*(84+151)</f>
        <v>270.25</v>
      </c>
      <c r="L46" s="78"/>
      <c r="M46" s="75"/>
      <c r="N46" s="78"/>
      <c r="O46" s="75"/>
    </row>
    <row r="47" spans="2:15" x14ac:dyDescent="0.25">
      <c r="B47" s="8"/>
      <c r="C47" s="9" t="s">
        <v>337</v>
      </c>
      <c r="D47" s="10" t="s">
        <v>193</v>
      </c>
      <c r="E47" s="37" t="s">
        <v>9</v>
      </c>
      <c r="F47" s="10" t="s">
        <v>194</v>
      </c>
      <c r="G47" s="40" t="s">
        <v>8</v>
      </c>
      <c r="H47" s="62">
        <v>1</v>
      </c>
      <c r="I47" s="70">
        <v>0</v>
      </c>
      <c r="J47" s="71">
        <f>1.15*(75+136)</f>
        <v>242.64999999999998</v>
      </c>
      <c r="L47" s="78"/>
      <c r="M47" s="75"/>
      <c r="N47" s="78"/>
      <c r="O47" s="75"/>
    </row>
    <row r="48" spans="2:15" x14ac:dyDescent="0.25">
      <c r="B48" s="8"/>
      <c r="C48" s="9" t="s">
        <v>338</v>
      </c>
      <c r="D48" s="10" t="s">
        <v>193</v>
      </c>
      <c r="E48" s="37" t="s">
        <v>9</v>
      </c>
      <c r="F48" s="10" t="s">
        <v>194</v>
      </c>
      <c r="G48" s="40" t="s">
        <v>8</v>
      </c>
      <c r="H48" s="62">
        <v>1</v>
      </c>
      <c r="I48" s="70">
        <v>0</v>
      </c>
      <c r="J48" s="71">
        <f>1.15*(83+240)</f>
        <v>371.45</v>
      </c>
      <c r="L48" s="78"/>
      <c r="M48" s="75"/>
      <c r="N48" s="78"/>
      <c r="O48" s="75"/>
    </row>
    <row r="49" spans="2:23" x14ac:dyDescent="0.25">
      <c r="B49" s="8"/>
      <c r="C49" s="9" t="s">
        <v>339</v>
      </c>
      <c r="D49" s="10" t="s">
        <v>193</v>
      </c>
      <c r="E49" s="37" t="s">
        <v>9</v>
      </c>
      <c r="F49" s="10" t="s">
        <v>194</v>
      </c>
      <c r="G49" s="40" t="s">
        <v>8</v>
      </c>
      <c r="H49" s="62">
        <v>1</v>
      </c>
      <c r="I49" s="70">
        <v>0</v>
      </c>
      <c r="J49" s="71">
        <f>1.15*(84+151)</f>
        <v>270.25</v>
      </c>
      <c r="L49" s="78"/>
      <c r="M49" s="75"/>
      <c r="N49" s="78"/>
      <c r="O49" s="75"/>
    </row>
    <row r="50" spans="2:23" x14ac:dyDescent="0.25">
      <c r="B50" s="8"/>
      <c r="C50" s="9" t="s">
        <v>340</v>
      </c>
      <c r="D50" s="10" t="s">
        <v>193</v>
      </c>
      <c r="E50" s="37" t="s">
        <v>9</v>
      </c>
      <c r="F50" s="10" t="s">
        <v>194</v>
      </c>
      <c r="G50" s="40" t="s">
        <v>8</v>
      </c>
      <c r="H50" s="62">
        <v>1</v>
      </c>
      <c r="I50" s="70">
        <v>0</v>
      </c>
      <c r="J50" s="71">
        <f>1.15*(84+242)</f>
        <v>374.9</v>
      </c>
      <c r="L50" s="78"/>
      <c r="M50" s="75"/>
      <c r="N50" s="78"/>
      <c r="O50" s="75"/>
    </row>
    <row r="51" spans="2:23" x14ac:dyDescent="0.25">
      <c r="B51" s="8"/>
      <c r="C51" s="127"/>
      <c r="D51" s="128"/>
      <c r="E51" s="128"/>
      <c r="F51" s="128"/>
      <c r="G51" s="128"/>
      <c r="H51" s="128"/>
      <c r="I51" s="70"/>
      <c r="J51" s="87"/>
      <c r="L51" s="78"/>
      <c r="M51" s="75"/>
      <c r="N51" s="78"/>
      <c r="O51" s="75"/>
    </row>
    <row r="52" spans="2:23" ht="30" x14ac:dyDescent="0.25">
      <c r="B52" s="8"/>
      <c r="C52" s="41" t="s">
        <v>341</v>
      </c>
      <c r="D52" s="10" t="s">
        <v>56</v>
      </c>
      <c r="E52" s="37" t="s">
        <v>9</v>
      </c>
      <c r="F52" s="97" t="s">
        <v>350</v>
      </c>
      <c r="G52" s="40" t="s">
        <v>8</v>
      </c>
      <c r="H52" s="117">
        <v>1</v>
      </c>
      <c r="I52" s="70">
        <f>7860*(O3*(1.32-2*0.025)*(M52+Q52))*1.5+7860*(O3*(0.78-2*0.025)*U52)*2</f>
        <v>17.441102023436645</v>
      </c>
      <c r="J52" s="71">
        <f>1.15*(7860*(Q3*(3.86+3.26)*O52))*1.5+1.15*(7860*(R3*2.64*W52))*2</f>
        <v>133.13581965069997</v>
      </c>
      <c r="L52" s="85">
        <f>3.86/0.25</f>
        <v>15.44</v>
      </c>
      <c r="M52" s="86">
        <v>17</v>
      </c>
      <c r="N52" s="85">
        <f>(1.32-2*0.025)/0.1</f>
        <v>12.7</v>
      </c>
      <c r="O52" s="86">
        <v>14</v>
      </c>
      <c r="P52" s="6">
        <f>3.26/0.25</f>
        <v>13.04</v>
      </c>
      <c r="Q52" s="6">
        <v>15</v>
      </c>
      <c r="R52" s="6"/>
      <c r="S52" s="6"/>
      <c r="T52" s="6">
        <f>(2.64-2*0.025)/0.25</f>
        <v>10.360000000000001</v>
      </c>
      <c r="U52" s="6">
        <v>12</v>
      </c>
      <c r="V52">
        <f>(0.78-2*0.025)/0.2</f>
        <v>3.65</v>
      </c>
      <c r="W52">
        <v>5</v>
      </c>
    </row>
    <row r="53" spans="2:23" x14ac:dyDescent="0.25">
      <c r="B53" s="8"/>
      <c r="C53" s="9" t="s">
        <v>342</v>
      </c>
      <c r="D53" s="10" t="s">
        <v>63</v>
      </c>
      <c r="E53" s="37" t="s">
        <v>9</v>
      </c>
      <c r="F53" s="10" t="s">
        <v>190</v>
      </c>
      <c r="G53" s="38">
        <v>3.14</v>
      </c>
      <c r="H53" s="111">
        <v>1</v>
      </c>
      <c r="I53" s="70">
        <f>7860*O3*(2*(0.24+0.38)+2*0.1-8*0.025)*M53</f>
        <v>5.2358863872600327</v>
      </c>
      <c r="J53" s="71">
        <f>1.15*(7860*(T3*G53*O53))+1.15*(7860*(R3*G53*Q53))</f>
        <v>17.833225565361232</v>
      </c>
      <c r="L53" s="85">
        <f>(G53-2*0.25)/0.15</f>
        <v>17.600000000000001</v>
      </c>
      <c r="M53" s="86">
        <v>19</v>
      </c>
      <c r="N53" s="85"/>
      <c r="O53" s="86">
        <f>2</f>
        <v>2</v>
      </c>
      <c r="P53" s="6"/>
      <c r="Q53" s="6">
        <f>2</f>
        <v>2</v>
      </c>
    </row>
    <row r="54" spans="2:23" x14ac:dyDescent="0.25">
      <c r="B54" s="8"/>
      <c r="C54" s="9" t="s">
        <v>343</v>
      </c>
      <c r="D54" s="10" t="s">
        <v>63</v>
      </c>
      <c r="E54" s="37" t="s">
        <v>9</v>
      </c>
      <c r="F54" s="10" t="s">
        <v>191</v>
      </c>
      <c r="G54" s="101">
        <v>2.64</v>
      </c>
      <c r="H54" s="111">
        <v>1</v>
      </c>
      <c r="I54" s="70">
        <f>7860*O3*(2*(0.54+0.2)+2*0.1-6*0.025)*M54*2</f>
        <v>12.920816407270724</v>
      </c>
      <c r="J54" s="71">
        <f>1.15*(7860*(R3*G54*O54))</f>
        <v>29.687209132247208</v>
      </c>
      <c r="L54" s="85">
        <f>(G54)/0.15</f>
        <v>17.600000000000001</v>
      </c>
      <c r="M54" s="86">
        <v>19</v>
      </c>
      <c r="N54" s="85"/>
      <c r="O54" s="86">
        <f>4+7</f>
        <v>11</v>
      </c>
    </row>
    <row r="55" spans="2:23" x14ac:dyDescent="0.25">
      <c r="B55" s="8"/>
      <c r="C55" s="155"/>
      <c r="D55" s="156"/>
      <c r="E55" s="156"/>
      <c r="F55" s="156"/>
      <c r="G55" s="156"/>
      <c r="H55" s="156"/>
      <c r="I55" s="70"/>
      <c r="J55" s="71"/>
      <c r="L55" s="85"/>
      <c r="M55" s="86"/>
      <c r="N55" s="85"/>
      <c r="O55" s="86"/>
    </row>
    <row r="56" spans="2:23" ht="45.75" thickBot="1" x14ac:dyDescent="0.3">
      <c r="B56" s="8"/>
      <c r="C56" s="51" t="s">
        <v>446</v>
      </c>
      <c r="D56" s="42" t="s">
        <v>444</v>
      </c>
      <c r="E56" s="43" t="s">
        <v>445</v>
      </c>
      <c r="F56" s="43" t="s">
        <v>456</v>
      </c>
      <c r="G56" s="44">
        <v>3.65</v>
      </c>
      <c r="H56" s="118">
        <v>1</v>
      </c>
      <c r="I56" s="115"/>
      <c r="J56" s="116"/>
      <c r="L56" s="90"/>
      <c r="M56" s="91"/>
      <c r="N56" s="90"/>
      <c r="O56" s="91"/>
    </row>
    <row r="57" spans="2:23" ht="15.75" thickBot="1" x14ac:dyDescent="0.3">
      <c r="B57" s="8"/>
      <c r="C57" s="126" t="s">
        <v>648</v>
      </c>
      <c r="D57" s="126"/>
      <c r="E57" s="126"/>
      <c r="F57" s="126"/>
      <c r="G57" s="126"/>
      <c r="H57" s="126"/>
      <c r="I57" s="119">
        <f>SUM(I7:I56)</f>
        <v>784.33844764672483</v>
      </c>
      <c r="J57" s="120">
        <f>SUM(J7:J56)</f>
        <v>25033.872230408648</v>
      </c>
      <c r="L57" s="5"/>
    </row>
    <row r="60" spans="2:23" x14ac:dyDescent="0.25">
      <c r="J60" s="123"/>
    </row>
  </sheetData>
  <mergeCells count="13">
    <mergeCell ref="I4:J4"/>
    <mergeCell ref="C57:H57"/>
    <mergeCell ref="C55:H55"/>
    <mergeCell ref="C4:H4"/>
    <mergeCell ref="C6:H6"/>
    <mergeCell ref="C8:H8"/>
    <mergeCell ref="C12:H12"/>
    <mergeCell ref="C14:H14"/>
    <mergeCell ref="C25:H25"/>
    <mergeCell ref="C29:H29"/>
    <mergeCell ref="C41:H41"/>
    <mergeCell ref="C43:H43"/>
    <mergeCell ref="C51:H5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DD6B6-5DBC-4E0F-84C3-E0BD141793A5}">
  <dimension ref="B1:W66"/>
  <sheetViews>
    <sheetView topLeftCell="A26" workbookViewId="0">
      <selection activeCell="J57" sqref="J57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28515625" customWidth="1"/>
  </cols>
  <sheetData>
    <row r="1" spans="2:22" x14ac:dyDescent="0.25">
      <c r="B1" s="8"/>
      <c r="C1" s="32"/>
      <c r="D1" s="33"/>
      <c r="E1" s="34"/>
      <c r="F1" s="33"/>
      <c r="G1" s="35"/>
      <c r="H1" s="32"/>
    </row>
    <row r="2" spans="2:22" x14ac:dyDescent="0.25">
      <c r="B2" s="8"/>
      <c r="C2" s="32"/>
      <c r="D2" s="33"/>
      <c r="E2" s="34"/>
      <c r="F2" s="33"/>
      <c r="G2" s="35"/>
      <c r="H2" s="32"/>
      <c r="O2" s="67" t="str">
        <f>F!O2</f>
        <v>6 [m2]</v>
      </c>
      <c r="P2" s="67" t="str">
        <f>F!P2</f>
        <v>8 [m2]</v>
      </c>
      <c r="Q2" s="67" t="str">
        <f>F!Q2</f>
        <v>10 [m2]</v>
      </c>
      <c r="R2" s="67" t="str">
        <f>F!R2</f>
        <v>12 [m2]</v>
      </c>
      <c r="S2" s="67" t="str">
        <f>F!S2</f>
        <v>14 [m2]</v>
      </c>
      <c r="T2" s="67" t="str">
        <f>F!T2</f>
        <v>16 [m2]</v>
      </c>
      <c r="U2" s="67" t="str">
        <f>F!U2</f>
        <v>20 [m2]</v>
      </c>
      <c r="V2" s="67" t="str">
        <f>F!V2</f>
        <v>24 [m2]</v>
      </c>
    </row>
    <row r="3" spans="2:22" ht="15.75" thickBot="1" x14ac:dyDescent="0.3">
      <c r="B3" s="8"/>
      <c r="C3" s="32"/>
      <c r="D3" s="33"/>
      <c r="E3" s="34"/>
      <c r="F3" s="33"/>
      <c r="G3" s="35"/>
      <c r="H3" s="32"/>
      <c r="O3" s="67">
        <f>F!O3</f>
        <v>2.8274333882308137E-5</v>
      </c>
      <c r="P3" s="67">
        <f>F!P3</f>
        <v>5.0265482457436686E-5</v>
      </c>
      <c r="Q3" s="67">
        <f>F!Q3</f>
        <v>7.8539816339744827E-5</v>
      </c>
      <c r="R3" s="67">
        <f>F!R3</f>
        <v>1.1309733552923255E-4</v>
      </c>
      <c r="S3" s="67">
        <f>F!S3</f>
        <v>1.5393804002589989E-4</v>
      </c>
      <c r="T3" s="67">
        <f>F!T3</f>
        <v>2.0106192982974675E-4</v>
      </c>
      <c r="U3" s="67">
        <f>F!U3</f>
        <v>3.1415926535897931E-4</v>
      </c>
      <c r="V3" s="67">
        <f>F!V3</f>
        <v>4.523893421169302E-4</v>
      </c>
    </row>
    <row r="4" spans="2:22" ht="15.75" thickBot="1" x14ac:dyDescent="0.3">
      <c r="B4" s="8"/>
      <c r="C4" s="161" t="s">
        <v>3</v>
      </c>
      <c r="D4" s="162"/>
      <c r="E4" s="162"/>
      <c r="F4" s="162"/>
      <c r="G4" s="162"/>
      <c r="H4" s="163"/>
      <c r="I4" s="124" t="s">
        <v>647</v>
      </c>
      <c r="J4" s="125"/>
      <c r="L4" s="2" t="s">
        <v>344</v>
      </c>
    </row>
    <row r="5" spans="2:22" ht="26.25" thickBot="1" x14ac:dyDescent="0.3">
      <c r="B5" s="8"/>
      <c r="C5" s="53" t="s">
        <v>2</v>
      </c>
      <c r="D5" s="52" t="s">
        <v>0</v>
      </c>
      <c r="E5" s="52" t="s">
        <v>4</v>
      </c>
      <c r="F5" s="52" t="s">
        <v>5</v>
      </c>
      <c r="G5" s="52" t="s">
        <v>1</v>
      </c>
      <c r="H5" s="54" t="s">
        <v>6</v>
      </c>
      <c r="I5" s="98" t="s">
        <v>649</v>
      </c>
      <c r="J5" s="99" t="s">
        <v>650</v>
      </c>
      <c r="L5" s="2"/>
    </row>
    <row r="6" spans="2:22" x14ac:dyDescent="0.25">
      <c r="B6" s="8"/>
      <c r="C6" s="145"/>
      <c r="D6" s="146"/>
      <c r="E6" s="146"/>
      <c r="F6" s="146"/>
      <c r="G6" s="146"/>
      <c r="H6" s="147"/>
      <c r="I6" s="68"/>
      <c r="J6" s="69"/>
    </row>
    <row r="7" spans="2:22" ht="30" x14ac:dyDescent="0.25">
      <c r="B7" s="8"/>
      <c r="C7" s="14" t="s">
        <v>345</v>
      </c>
      <c r="D7" s="37" t="s">
        <v>165</v>
      </c>
      <c r="E7" s="11" t="s">
        <v>8</v>
      </c>
      <c r="F7" s="10" t="s">
        <v>269</v>
      </c>
      <c r="G7" s="38">
        <v>1.4</v>
      </c>
      <c r="H7" s="110">
        <v>5</v>
      </c>
      <c r="I7" s="70"/>
      <c r="J7" s="71"/>
      <c r="L7" s="83"/>
      <c r="M7" s="84"/>
      <c r="N7" s="83"/>
      <c r="O7" s="84"/>
    </row>
    <row r="8" spans="2:22" x14ac:dyDescent="0.25">
      <c r="B8" s="8"/>
      <c r="C8" s="142"/>
      <c r="D8" s="143"/>
      <c r="E8" s="143"/>
      <c r="F8" s="143"/>
      <c r="G8" s="143"/>
      <c r="H8" s="144"/>
      <c r="I8" s="70"/>
      <c r="J8" s="71"/>
      <c r="L8" s="78"/>
      <c r="M8" s="75"/>
      <c r="N8" s="78"/>
      <c r="O8" s="75"/>
    </row>
    <row r="9" spans="2:22" x14ac:dyDescent="0.25">
      <c r="B9" s="8"/>
      <c r="C9" s="14" t="s">
        <v>346</v>
      </c>
      <c r="D9" s="37" t="s">
        <v>266</v>
      </c>
      <c r="E9" s="37" t="s">
        <v>9</v>
      </c>
      <c r="F9" s="10" t="s">
        <v>64</v>
      </c>
      <c r="G9" s="38">
        <v>2.2000000000000002</v>
      </c>
      <c r="H9" s="110">
        <v>1</v>
      </c>
      <c r="I9" s="70">
        <f>7860*O3*(2*(0.25+0.3)+2*0.1-8*0.025)*M9*H9</f>
        <v>2.4445989074643619</v>
      </c>
      <c r="J9" s="71">
        <f>1.15*(7860*(R3*G9*O9))*H9</f>
        <v>8.9961239794688499</v>
      </c>
      <c r="L9" s="85">
        <f>(G9-0.5)/0.2</f>
        <v>8.5</v>
      </c>
      <c r="M9" s="86">
        <v>10</v>
      </c>
      <c r="N9" s="85"/>
      <c r="O9" s="86">
        <f>2+2</f>
        <v>4</v>
      </c>
    </row>
    <row r="10" spans="2:22" x14ac:dyDescent="0.25">
      <c r="B10" s="8"/>
      <c r="C10" s="14" t="s">
        <v>347</v>
      </c>
      <c r="D10" s="37" t="s">
        <v>266</v>
      </c>
      <c r="E10" s="37" t="s">
        <v>9</v>
      </c>
      <c r="F10" s="10" t="s">
        <v>264</v>
      </c>
      <c r="G10" s="38">
        <v>1.5</v>
      </c>
      <c r="H10" s="110">
        <v>1</v>
      </c>
      <c r="I10" s="70">
        <f>7860*O3*(2*(0.24+0.24)+2*0.1-8*0.025)*M10*H10</f>
        <v>1.7067745099387541</v>
      </c>
      <c r="J10" s="71">
        <f>1.15*(7860*(R3*G10*O10))*H10</f>
        <v>6.1337208950923978</v>
      </c>
      <c r="L10" s="85">
        <f>(G10-0.5)/0.15</f>
        <v>6.666666666666667</v>
      </c>
      <c r="M10" s="86">
        <v>8</v>
      </c>
      <c r="N10" s="85"/>
      <c r="O10" s="86">
        <f t="shared" ref="O10:O11" si="0">2+2</f>
        <v>4</v>
      </c>
    </row>
    <row r="11" spans="2:22" x14ac:dyDescent="0.25">
      <c r="B11" s="8"/>
      <c r="C11" s="9" t="s">
        <v>348</v>
      </c>
      <c r="D11" s="37" t="s">
        <v>266</v>
      </c>
      <c r="E11" s="37" t="s">
        <v>9</v>
      </c>
      <c r="F11" s="10" t="s">
        <v>264</v>
      </c>
      <c r="G11" s="38">
        <v>1.75</v>
      </c>
      <c r="H11" s="110">
        <v>1</v>
      </c>
      <c r="I11" s="70">
        <f>7860*O3*(2*(0.24+0.24)+2*0.1-8*0.025)*M11*H11</f>
        <v>2.1334681374234425</v>
      </c>
      <c r="J11" s="71">
        <f>1.15*(7860*(R3*G11*O11))*H11</f>
        <v>7.1560077109411298</v>
      </c>
      <c r="L11" s="85">
        <f>(G11-0.5)/0.15</f>
        <v>8.3333333333333339</v>
      </c>
      <c r="M11" s="86">
        <v>10</v>
      </c>
      <c r="N11" s="85"/>
      <c r="O11" s="86">
        <f t="shared" si="0"/>
        <v>4</v>
      </c>
    </row>
    <row r="12" spans="2:22" x14ac:dyDescent="0.25">
      <c r="B12" s="8"/>
      <c r="C12" s="142"/>
      <c r="D12" s="143"/>
      <c r="E12" s="143"/>
      <c r="F12" s="143"/>
      <c r="G12" s="143"/>
      <c r="H12" s="144"/>
      <c r="I12" s="70"/>
      <c r="J12" s="71"/>
      <c r="L12" s="85"/>
      <c r="M12" s="86"/>
      <c r="N12" s="85"/>
      <c r="O12" s="86"/>
    </row>
    <row r="13" spans="2:22" x14ac:dyDescent="0.25">
      <c r="B13" s="8"/>
      <c r="C13" s="9" t="s">
        <v>349</v>
      </c>
      <c r="D13" s="10" t="s">
        <v>7</v>
      </c>
      <c r="E13" s="37" t="s">
        <v>9</v>
      </c>
      <c r="F13" s="10" t="s">
        <v>270</v>
      </c>
      <c r="G13" s="20">
        <v>2.2000000000000002</v>
      </c>
      <c r="H13" s="62">
        <v>1</v>
      </c>
      <c r="I13" s="93">
        <f>7860*O3*(2*(0.16+0.35)+2*0.1-6*0.025)*M13*2</f>
        <v>6.1826128732416841</v>
      </c>
      <c r="J13" s="87">
        <f>1.15*(7860*(T3*G13*O13))</f>
        <v>31.986218593667022</v>
      </c>
      <c r="L13" s="78">
        <f>(G13-2*0.25)/0.15</f>
        <v>11.333333333333336</v>
      </c>
      <c r="M13" s="75">
        <v>13</v>
      </c>
      <c r="N13" s="78"/>
      <c r="O13" s="75">
        <f>4+4</f>
        <v>8</v>
      </c>
    </row>
    <row r="14" spans="2:22" x14ac:dyDescent="0.25">
      <c r="B14" s="8"/>
      <c r="C14" s="142"/>
      <c r="D14" s="143"/>
      <c r="E14" s="143"/>
      <c r="F14" s="143"/>
      <c r="G14" s="143"/>
      <c r="H14" s="144"/>
      <c r="I14" s="70"/>
      <c r="J14" s="71"/>
      <c r="L14" s="85"/>
      <c r="M14" s="86"/>
      <c r="N14" s="85"/>
      <c r="O14" s="86"/>
    </row>
    <row r="15" spans="2:22" x14ac:dyDescent="0.25">
      <c r="B15" s="8"/>
      <c r="C15" s="9" t="s">
        <v>356</v>
      </c>
      <c r="D15" s="10" t="s">
        <v>52</v>
      </c>
      <c r="E15" s="37" t="s">
        <v>9</v>
      </c>
      <c r="F15" s="10" t="s">
        <v>155</v>
      </c>
      <c r="G15" s="21">
        <v>6.5</v>
      </c>
      <c r="H15" s="62">
        <v>1</v>
      </c>
      <c r="I15" s="70">
        <f>7860*O3*(2*(0.16+0.68)+2*0.1-6*0.025)*M15*2</f>
        <v>24.605999184950374</v>
      </c>
      <c r="J15" s="71">
        <f>1.15*(7860*(T3*G15*O15+T3*1.5*Q15))</f>
        <v>105.4091294564027</v>
      </c>
      <c r="L15" s="85">
        <f>(G15-1*0.4)/0.2</f>
        <v>30.499999999999996</v>
      </c>
      <c r="M15" s="86">
        <v>32</v>
      </c>
      <c r="N15" s="85"/>
      <c r="O15" s="86">
        <f>4+4</f>
        <v>8</v>
      </c>
      <c r="Q15">
        <v>4</v>
      </c>
    </row>
    <row r="16" spans="2:22" x14ac:dyDescent="0.25">
      <c r="B16" s="8"/>
      <c r="C16" s="9" t="s">
        <v>359</v>
      </c>
      <c r="D16" s="10" t="s">
        <v>52</v>
      </c>
      <c r="E16" s="37" t="s">
        <v>9</v>
      </c>
      <c r="F16" s="10" t="s">
        <v>155</v>
      </c>
      <c r="G16" s="21">
        <v>9.4499999999999993</v>
      </c>
      <c r="H16" s="62">
        <v>1</v>
      </c>
      <c r="I16" s="70">
        <f>'0'!I49</f>
        <v>32.295373930247365</v>
      </c>
      <c r="J16" s="71">
        <f>'0'!J49</f>
        <v>137.39534805006969</v>
      </c>
      <c r="L16" s="85"/>
      <c r="M16" s="86"/>
      <c r="N16" s="85"/>
      <c r="O16" s="86"/>
    </row>
    <row r="17" spans="2:23" x14ac:dyDescent="0.25">
      <c r="B17" s="8"/>
      <c r="C17" s="9" t="s">
        <v>360</v>
      </c>
      <c r="D17" s="10" t="s">
        <v>52</v>
      </c>
      <c r="E17" s="37" t="s">
        <v>9</v>
      </c>
      <c r="F17" s="10" t="s">
        <v>155</v>
      </c>
      <c r="G17" s="21">
        <v>11.9</v>
      </c>
      <c r="H17" s="62">
        <v>1</v>
      </c>
      <c r="I17" s="70">
        <f>'0'!I50</f>
        <v>44.598373522722554</v>
      </c>
      <c r="J17" s="71">
        <f>'0'!J50</f>
        <v>187.21479220909796</v>
      </c>
      <c r="L17" s="78"/>
      <c r="M17" s="75"/>
      <c r="N17" s="78"/>
      <c r="O17" s="75"/>
    </row>
    <row r="18" spans="2:23" x14ac:dyDescent="0.25">
      <c r="B18" s="8"/>
      <c r="C18" s="9" t="s">
        <v>361</v>
      </c>
      <c r="D18" s="10" t="s">
        <v>52</v>
      </c>
      <c r="E18" s="37" t="s">
        <v>9</v>
      </c>
      <c r="F18" s="10" t="s">
        <v>155</v>
      </c>
      <c r="G18" s="21">
        <v>22.1</v>
      </c>
      <c r="H18" s="62">
        <v>1</v>
      </c>
      <c r="I18" s="70">
        <f>'0'!I51</f>
        <v>76.124809978440226</v>
      </c>
      <c r="J18" s="71">
        <f>'0'!J51</f>
        <v>294.41860296443514</v>
      </c>
      <c r="L18" s="78"/>
      <c r="M18" s="75"/>
      <c r="N18" s="78"/>
      <c r="O18" s="75"/>
    </row>
    <row r="19" spans="2:23" x14ac:dyDescent="0.25">
      <c r="B19" s="8"/>
      <c r="C19" s="9" t="s">
        <v>362</v>
      </c>
      <c r="D19" s="10" t="s">
        <v>52</v>
      </c>
      <c r="E19" s="37" t="s">
        <v>9</v>
      </c>
      <c r="F19" s="10" t="s">
        <v>155</v>
      </c>
      <c r="G19" s="21">
        <v>18.149999999999999</v>
      </c>
      <c r="H19" s="62">
        <v>1</v>
      </c>
      <c r="I19" s="70">
        <f>'0'!I52</f>
        <v>67.666497758613531</v>
      </c>
      <c r="J19" s="71">
        <f>'0'!J52</f>
        <v>311.25225919874418</v>
      </c>
      <c r="L19" s="78"/>
      <c r="M19" s="75"/>
      <c r="N19" s="78"/>
      <c r="O19" s="75"/>
    </row>
    <row r="20" spans="2:23" x14ac:dyDescent="0.25">
      <c r="B20" s="8"/>
      <c r="C20" s="9" t="s">
        <v>363</v>
      </c>
      <c r="D20" s="10" t="s">
        <v>52</v>
      </c>
      <c r="E20" s="37" t="s">
        <v>9</v>
      </c>
      <c r="F20" s="10" t="s">
        <v>155</v>
      </c>
      <c r="G20" s="21">
        <v>11.18</v>
      </c>
      <c r="H20" s="62">
        <v>1</v>
      </c>
      <c r="I20" s="70">
        <f>'0'!I53</f>
        <v>38.446873726484959</v>
      </c>
      <c r="J20" s="71">
        <f>'0'!J53</f>
        <v>169.81774235183218</v>
      </c>
      <c r="L20" s="78"/>
      <c r="M20" s="75"/>
      <c r="N20" s="78"/>
      <c r="O20" s="75"/>
      <c r="W20">
        <v>2</v>
      </c>
    </row>
    <row r="21" spans="2:23" x14ac:dyDescent="0.25">
      <c r="B21" s="8"/>
      <c r="C21" s="9" t="s">
        <v>364</v>
      </c>
      <c r="D21" s="10" t="s">
        <v>52</v>
      </c>
      <c r="E21" s="37" t="s">
        <v>9</v>
      </c>
      <c r="F21" s="10" t="s">
        <v>155</v>
      </c>
      <c r="G21" s="21">
        <v>11.85</v>
      </c>
      <c r="H21" s="62">
        <v>1</v>
      </c>
      <c r="I21" s="70">
        <f>'0'!I54</f>
        <v>44.598373522722554</v>
      </c>
      <c r="J21" s="71">
        <f>'0'!J54</f>
        <v>181.37639861636185</v>
      </c>
      <c r="L21" s="78"/>
      <c r="M21" s="75"/>
      <c r="N21" s="78"/>
      <c r="O21" s="75"/>
    </row>
    <row r="22" spans="2:23" x14ac:dyDescent="0.25">
      <c r="B22" s="8"/>
      <c r="C22" s="9" t="s">
        <v>365</v>
      </c>
      <c r="D22" s="10" t="s">
        <v>52</v>
      </c>
      <c r="E22" s="37" t="s">
        <v>9</v>
      </c>
      <c r="F22" s="10" t="s">
        <v>155</v>
      </c>
      <c r="G22" s="21">
        <v>15.8</v>
      </c>
      <c r="H22" s="62">
        <v>1</v>
      </c>
      <c r="I22" s="70">
        <f>'0'!I55</f>
        <v>53.825623217078942</v>
      </c>
      <c r="J22" s="71">
        <f>'0'!J55</f>
        <v>238.80620018226404</v>
      </c>
      <c r="L22" s="85"/>
      <c r="M22" s="86"/>
      <c r="N22" s="85"/>
      <c r="O22" s="86"/>
      <c r="P22" s="6"/>
      <c r="Q22" s="6"/>
    </row>
    <row r="23" spans="2:23" x14ac:dyDescent="0.25">
      <c r="B23" s="8"/>
      <c r="C23" s="9" t="s">
        <v>354</v>
      </c>
      <c r="D23" s="10" t="s">
        <v>52</v>
      </c>
      <c r="E23" s="37" t="s">
        <v>9</v>
      </c>
      <c r="F23" s="10" t="s">
        <v>155</v>
      </c>
      <c r="G23" s="21">
        <v>6.2</v>
      </c>
      <c r="H23" s="62">
        <v>1</v>
      </c>
      <c r="I23" s="70">
        <f>7860*O3*(2*(0.16+0.68)+2*0.1-6*0.025)*M23*2</f>
        <v>23.068124235890977</v>
      </c>
      <c r="J23" s="71">
        <f>1.15*(7860*(T3*G23*O23+T3*1.5*Q23))</f>
        <v>101.04737237544809</v>
      </c>
      <c r="L23" s="85">
        <f>(G23-1*0.4)/0.2</f>
        <v>28.999999999999996</v>
      </c>
      <c r="M23" s="86">
        <v>30</v>
      </c>
      <c r="N23" s="85"/>
      <c r="O23" s="86">
        <f>4+4</f>
        <v>8</v>
      </c>
      <c r="P23" s="6"/>
      <c r="Q23" s="6">
        <v>4</v>
      </c>
    </row>
    <row r="24" spans="2:23" x14ac:dyDescent="0.25">
      <c r="B24" s="8"/>
      <c r="C24" s="9" t="s">
        <v>355</v>
      </c>
      <c r="D24" s="10" t="s">
        <v>52</v>
      </c>
      <c r="E24" s="37" t="s">
        <v>9</v>
      </c>
      <c r="F24" s="10" t="s">
        <v>155</v>
      </c>
      <c r="G24" s="21">
        <v>6.2</v>
      </c>
      <c r="H24" s="62">
        <v>1</v>
      </c>
      <c r="I24" s="70">
        <f>7860*O3*(2*(0.16+0.68)+2*0.1-6*0.025)*M24*2</f>
        <v>23.068124235890977</v>
      </c>
      <c r="J24" s="71">
        <f>1.15*(7860*(T3*G24*O24+U3*G24*Q24))</f>
        <v>115.49569270611019</v>
      </c>
      <c r="L24" s="85">
        <f>(G24-1*0.4)/0.2</f>
        <v>28.999999999999996</v>
      </c>
      <c r="M24" s="86">
        <v>30</v>
      </c>
      <c r="N24" s="85"/>
      <c r="O24" s="86">
        <f>4</f>
        <v>4</v>
      </c>
      <c r="P24" s="6"/>
      <c r="Q24" s="6">
        <v>4</v>
      </c>
      <c r="W24">
        <f t="shared" ref="W24" si="1">W20</f>
        <v>2</v>
      </c>
    </row>
    <row r="25" spans="2:23" x14ac:dyDescent="0.25">
      <c r="B25" s="8"/>
      <c r="C25" s="145"/>
      <c r="D25" s="146"/>
      <c r="E25" s="146"/>
      <c r="F25" s="146"/>
      <c r="G25" s="146"/>
      <c r="H25" s="147"/>
      <c r="I25" s="70"/>
      <c r="J25" s="71"/>
      <c r="L25" s="85"/>
      <c r="M25" s="86"/>
      <c r="N25" s="85"/>
      <c r="O25" s="86"/>
      <c r="P25" s="6"/>
      <c r="Q25" s="6"/>
    </row>
    <row r="26" spans="2:23" x14ac:dyDescent="0.25">
      <c r="B26" s="8"/>
      <c r="C26" s="9" t="s">
        <v>366</v>
      </c>
      <c r="D26" s="10" t="s">
        <v>10</v>
      </c>
      <c r="E26" s="37" t="s">
        <v>9</v>
      </c>
      <c r="F26" s="10" t="s">
        <v>89</v>
      </c>
      <c r="G26" s="21">
        <v>3.15</v>
      </c>
      <c r="H26" s="62">
        <v>7</v>
      </c>
      <c r="I26" s="70">
        <f>7860*O3*(2*(0.6+0.4)+2*0.1-6*0.025)*M26*2*H26</f>
        <v>82.916350215904856</v>
      </c>
      <c r="J26" s="71">
        <f>1.15*(7860*(T3*G26*O26))*H26</f>
        <v>400.73643181270324</v>
      </c>
      <c r="L26" s="78">
        <f>(G26-0.24)/0.25</f>
        <v>11.64</v>
      </c>
      <c r="M26" s="75">
        <v>13</v>
      </c>
      <c r="N26" s="78"/>
      <c r="O26" s="75">
        <f>5+5</f>
        <v>10</v>
      </c>
    </row>
    <row r="27" spans="2:23" x14ac:dyDescent="0.25">
      <c r="B27" s="8"/>
      <c r="C27" s="9" t="s">
        <v>367</v>
      </c>
      <c r="D27" s="10" t="s">
        <v>10</v>
      </c>
      <c r="E27" s="37" t="s">
        <v>9</v>
      </c>
      <c r="F27" s="10" t="s">
        <v>89</v>
      </c>
      <c r="G27" s="21">
        <v>3.15</v>
      </c>
      <c r="H27" s="62">
        <v>13</v>
      </c>
      <c r="I27" s="70">
        <f>7860*O3*(2*(0.6+0.4)+2*0.1-6*0.025)*M27*2*H27</f>
        <v>153.98750754382328</v>
      </c>
      <c r="J27" s="71">
        <f>1.15*(7860*(T3*G27*O27))*H27</f>
        <v>744.22480193787749</v>
      </c>
      <c r="L27" s="78">
        <f t="shared" ref="L27:L28" si="2">(G27-0.24)/0.25</f>
        <v>11.64</v>
      </c>
      <c r="M27" s="75">
        <v>13</v>
      </c>
      <c r="N27" s="78"/>
      <c r="O27" s="75">
        <f>5+5</f>
        <v>10</v>
      </c>
    </row>
    <row r="28" spans="2:23" x14ac:dyDescent="0.25">
      <c r="B28" s="8"/>
      <c r="C28" s="9" t="s">
        <v>368</v>
      </c>
      <c r="D28" s="10" t="s">
        <v>10</v>
      </c>
      <c r="E28" s="37" t="s">
        <v>9</v>
      </c>
      <c r="F28" s="10" t="s">
        <v>89</v>
      </c>
      <c r="G28" s="21">
        <v>3.15</v>
      </c>
      <c r="H28" s="62">
        <v>6</v>
      </c>
      <c r="I28" s="70">
        <f>7860*O3*(2*(0.6+0.4)+2*0.1-6*0.025)*M28*2*H28</f>
        <v>71.071157327918442</v>
      </c>
      <c r="J28" s="71">
        <f>1.15*(7860*(T3*G28*O28))*H28</f>
        <v>343.48837012517424</v>
      </c>
      <c r="L28" s="78">
        <f t="shared" si="2"/>
        <v>11.64</v>
      </c>
      <c r="M28" s="75">
        <v>13</v>
      </c>
      <c r="N28" s="78"/>
      <c r="O28" s="75">
        <f>5+5</f>
        <v>10</v>
      </c>
    </row>
    <row r="29" spans="2:23" x14ac:dyDescent="0.25">
      <c r="B29" s="8"/>
      <c r="C29" s="145"/>
      <c r="D29" s="146"/>
      <c r="E29" s="146"/>
      <c r="F29" s="146"/>
      <c r="G29" s="146"/>
      <c r="H29" s="147"/>
      <c r="I29" s="70"/>
      <c r="J29" s="87"/>
      <c r="L29" s="78"/>
      <c r="M29" s="75"/>
      <c r="N29" s="78"/>
      <c r="O29" s="75"/>
    </row>
    <row r="30" spans="2:23" x14ac:dyDescent="0.25">
      <c r="B30" s="8"/>
      <c r="C30" s="95" t="s">
        <v>369</v>
      </c>
      <c r="D30" s="10" t="s">
        <v>15</v>
      </c>
      <c r="E30" s="37" t="s">
        <v>9</v>
      </c>
      <c r="F30" s="10" t="s">
        <v>16</v>
      </c>
      <c r="G30" s="38">
        <v>6.5</v>
      </c>
      <c r="H30" s="62">
        <v>1</v>
      </c>
      <c r="I30" s="107">
        <v>0</v>
      </c>
      <c r="J30" s="103">
        <f>16.4*(G30*3.14-1.22*2.26)</f>
        <v>289.50591999999995</v>
      </c>
      <c r="L30" s="78"/>
      <c r="M30" s="75"/>
      <c r="N30" s="78"/>
      <c r="O30" s="75"/>
    </row>
    <row r="31" spans="2:23" x14ac:dyDescent="0.25">
      <c r="B31" s="8"/>
      <c r="C31" s="95" t="s">
        <v>370</v>
      </c>
      <c r="D31" s="10" t="s">
        <v>15</v>
      </c>
      <c r="E31" s="37" t="s">
        <v>9</v>
      </c>
      <c r="F31" s="10" t="s">
        <v>16</v>
      </c>
      <c r="G31" s="38">
        <v>2.95</v>
      </c>
      <c r="H31" s="62">
        <v>1</v>
      </c>
      <c r="I31" s="107">
        <v>0</v>
      </c>
      <c r="J31" s="103">
        <f>16.4*(G31*3.14)</f>
        <v>151.91320000000002</v>
      </c>
      <c r="L31" s="78"/>
      <c r="M31" s="75"/>
      <c r="N31" s="78"/>
      <c r="O31" s="75"/>
    </row>
    <row r="32" spans="2:23" x14ac:dyDescent="0.25">
      <c r="B32" s="8"/>
      <c r="C32" s="95" t="s">
        <v>371</v>
      </c>
      <c r="D32" s="10" t="s">
        <v>15</v>
      </c>
      <c r="E32" s="37" t="s">
        <v>9</v>
      </c>
      <c r="F32" s="10" t="s">
        <v>16</v>
      </c>
      <c r="G32" s="38">
        <v>4.6500000000000004</v>
      </c>
      <c r="H32" s="62">
        <v>1</v>
      </c>
      <c r="I32" s="107">
        <v>0</v>
      </c>
      <c r="J32" s="103">
        <f>16.4*(G32*3.14-0.8*2.09)</f>
        <v>212.03559999999999</v>
      </c>
      <c r="L32" s="78"/>
      <c r="M32" s="75"/>
      <c r="N32" s="78"/>
      <c r="O32" s="75"/>
    </row>
    <row r="33" spans="2:15" x14ac:dyDescent="0.25">
      <c r="B33" s="8"/>
      <c r="C33" s="95" t="s">
        <v>372</v>
      </c>
      <c r="D33" s="10" t="s">
        <v>15</v>
      </c>
      <c r="E33" s="37" t="s">
        <v>9</v>
      </c>
      <c r="F33" s="10" t="s">
        <v>16</v>
      </c>
      <c r="G33" s="39">
        <v>6.5</v>
      </c>
      <c r="H33" s="62">
        <v>1</v>
      </c>
      <c r="I33" s="107">
        <v>0</v>
      </c>
      <c r="J33" s="103">
        <f>16.4*(G33*3.14)</f>
        <v>334.72399999999999</v>
      </c>
      <c r="L33" s="78"/>
      <c r="M33" s="75"/>
      <c r="N33" s="78"/>
      <c r="O33" s="75"/>
    </row>
    <row r="34" spans="2:15" x14ac:dyDescent="0.25">
      <c r="B34" s="8"/>
      <c r="C34" s="95" t="s">
        <v>373</v>
      </c>
      <c r="D34" s="10" t="s">
        <v>15</v>
      </c>
      <c r="E34" s="37" t="s">
        <v>9</v>
      </c>
      <c r="F34" s="10" t="s">
        <v>16</v>
      </c>
      <c r="G34" s="38">
        <v>11.18</v>
      </c>
      <c r="H34" s="62">
        <v>1</v>
      </c>
      <c r="I34" s="107">
        <v>0</v>
      </c>
      <c r="J34" s="103">
        <f>16.4*(G34*3.14-1.22*2.26)</f>
        <v>530.50720000000001</v>
      </c>
      <c r="L34" s="78"/>
      <c r="M34" s="75"/>
      <c r="N34" s="78"/>
      <c r="O34" s="75"/>
    </row>
    <row r="35" spans="2:15" x14ac:dyDescent="0.25">
      <c r="B35" s="8"/>
      <c r="C35" s="95" t="s">
        <v>374</v>
      </c>
      <c r="D35" s="10" t="s">
        <v>15</v>
      </c>
      <c r="E35" s="37" t="s">
        <v>9</v>
      </c>
      <c r="F35" s="10" t="s">
        <v>16</v>
      </c>
      <c r="G35" s="38">
        <v>4.1500000000000004</v>
      </c>
      <c r="H35" s="62">
        <v>1</v>
      </c>
      <c r="I35" s="107">
        <v>0</v>
      </c>
      <c r="J35" s="103">
        <f>16.4*(G35*3.14-1.18*2.33-1.18*2.33)</f>
        <v>123.52808000000005</v>
      </c>
      <c r="L35" s="78"/>
      <c r="M35" s="75"/>
      <c r="N35" s="78"/>
      <c r="O35" s="75"/>
    </row>
    <row r="36" spans="2:15" x14ac:dyDescent="0.25">
      <c r="B36" s="8"/>
      <c r="C36" s="95" t="s">
        <v>375</v>
      </c>
      <c r="D36" s="10" t="s">
        <v>15</v>
      </c>
      <c r="E36" s="37" t="s">
        <v>9</v>
      </c>
      <c r="F36" s="10" t="s">
        <v>16</v>
      </c>
      <c r="G36" s="38">
        <v>2.2000000000000002</v>
      </c>
      <c r="H36" s="62">
        <v>1</v>
      </c>
      <c r="I36" s="107">
        <v>0</v>
      </c>
      <c r="J36" s="103">
        <f>16.4*(G36*3.14)</f>
        <v>113.29120000000002</v>
      </c>
      <c r="L36" s="78"/>
      <c r="M36" s="75"/>
      <c r="N36" s="78"/>
      <c r="O36" s="75"/>
    </row>
    <row r="37" spans="2:15" x14ac:dyDescent="0.25">
      <c r="B37" s="8"/>
      <c r="C37" s="95" t="s">
        <v>376</v>
      </c>
      <c r="D37" s="10" t="s">
        <v>15</v>
      </c>
      <c r="E37" s="37" t="s">
        <v>9</v>
      </c>
      <c r="F37" s="10" t="s">
        <v>16</v>
      </c>
      <c r="G37" s="38">
        <v>2.2000000000000002</v>
      </c>
      <c r="H37" s="62">
        <v>1</v>
      </c>
      <c r="I37" s="107">
        <v>0</v>
      </c>
      <c r="J37" s="103">
        <f>16.4*(G37*3.14)</f>
        <v>113.29120000000002</v>
      </c>
      <c r="L37" s="78"/>
      <c r="M37" s="75"/>
      <c r="N37" s="78"/>
      <c r="O37" s="75"/>
    </row>
    <row r="38" spans="2:15" x14ac:dyDescent="0.25">
      <c r="B38" s="8"/>
      <c r="C38" s="95" t="s">
        <v>377</v>
      </c>
      <c r="D38" s="10" t="s">
        <v>15</v>
      </c>
      <c r="E38" s="37" t="s">
        <v>9</v>
      </c>
      <c r="F38" s="10" t="s">
        <v>16</v>
      </c>
      <c r="G38" s="38">
        <v>9.24</v>
      </c>
      <c r="H38" s="62">
        <v>1</v>
      </c>
      <c r="I38" s="107">
        <v>0</v>
      </c>
      <c r="J38" s="103">
        <f>16.4*(G38*3.14-1.7*3.14)</f>
        <v>388.27983999999998</v>
      </c>
      <c r="L38" s="78"/>
      <c r="M38" s="75"/>
      <c r="N38" s="78"/>
      <c r="O38" s="75"/>
    </row>
    <row r="39" spans="2:15" x14ac:dyDescent="0.25">
      <c r="B39" s="8"/>
      <c r="C39" s="95" t="s">
        <v>378</v>
      </c>
      <c r="D39" s="10" t="s">
        <v>15</v>
      </c>
      <c r="E39" s="37" t="s">
        <v>9</v>
      </c>
      <c r="F39" s="10" t="s">
        <v>16</v>
      </c>
      <c r="G39" s="38">
        <v>6.5</v>
      </c>
      <c r="H39" s="62">
        <v>1</v>
      </c>
      <c r="I39" s="107">
        <v>0</v>
      </c>
      <c r="J39" s="103">
        <f>16.4*(G39*3.14-1*2.23)</f>
        <v>298.15199999999999</v>
      </c>
      <c r="L39" s="78"/>
      <c r="M39" s="75"/>
      <c r="N39" s="78"/>
      <c r="O39" s="75"/>
    </row>
    <row r="40" spans="2:15" x14ac:dyDescent="0.25">
      <c r="B40" s="8"/>
      <c r="C40" s="95" t="s">
        <v>379</v>
      </c>
      <c r="D40" s="10" t="s">
        <v>15</v>
      </c>
      <c r="E40" s="37" t="s">
        <v>9</v>
      </c>
      <c r="F40" s="10" t="s">
        <v>16</v>
      </c>
      <c r="G40" s="38">
        <v>6.5</v>
      </c>
      <c r="H40" s="62">
        <v>1</v>
      </c>
      <c r="I40" s="107">
        <v>0</v>
      </c>
      <c r="J40" s="103">
        <f>16.4*(G40*3.14-0.9*2.23*4)</f>
        <v>203.06479999999999</v>
      </c>
      <c r="L40" s="78"/>
      <c r="M40" s="75"/>
      <c r="N40" s="78"/>
      <c r="O40" s="75"/>
    </row>
    <row r="41" spans="2:15" x14ac:dyDescent="0.25">
      <c r="B41" s="8"/>
      <c r="C41" s="145"/>
      <c r="D41" s="146"/>
      <c r="E41" s="146"/>
      <c r="F41" s="146"/>
      <c r="G41" s="146"/>
      <c r="H41" s="147"/>
      <c r="I41" s="70"/>
      <c r="J41" s="87"/>
      <c r="L41" s="78"/>
      <c r="M41" s="75"/>
      <c r="N41" s="78"/>
      <c r="O41" s="75"/>
    </row>
    <row r="42" spans="2:15" x14ac:dyDescent="0.25">
      <c r="B42" s="8"/>
      <c r="C42" s="9" t="s">
        <v>380</v>
      </c>
      <c r="D42" s="10" t="s">
        <v>17</v>
      </c>
      <c r="E42" s="37" t="s">
        <v>9</v>
      </c>
      <c r="F42" s="10" t="s">
        <v>60</v>
      </c>
      <c r="G42" s="40" t="s">
        <v>8</v>
      </c>
      <c r="H42" s="62">
        <v>1</v>
      </c>
      <c r="I42" s="70">
        <v>0</v>
      </c>
      <c r="J42" s="71">
        <f>1.15*(6328+177+116+61+59+4339+13+54+63+30+183+50+43+161+36+41+391+61+118+278+148+52+19+70+11+277+28+296+14+15+28+324)</f>
        <v>15966.599999999999</v>
      </c>
      <c r="L42" s="78"/>
      <c r="M42" s="75"/>
      <c r="N42" s="78"/>
      <c r="O42" s="75"/>
    </row>
    <row r="43" spans="2:15" x14ac:dyDescent="0.25">
      <c r="B43" s="8"/>
      <c r="C43" s="145"/>
      <c r="D43" s="146"/>
      <c r="E43" s="146"/>
      <c r="F43" s="146"/>
      <c r="G43" s="146"/>
      <c r="H43" s="147"/>
      <c r="I43" s="70"/>
      <c r="J43" s="71"/>
      <c r="L43" s="78"/>
      <c r="M43" s="75"/>
      <c r="N43" s="78"/>
      <c r="O43" s="75"/>
    </row>
    <row r="44" spans="2:15" x14ac:dyDescent="0.25">
      <c r="B44" s="8"/>
      <c r="C44" s="9" t="s">
        <v>381</v>
      </c>
      <c r="D44" s="10" t="s">
        <v>193</v>
      </c>
      <c r="E44" s="37" t="s">
        <v>9</v>
      </c>
      <c r="F44" s="10" t="s">
        <v>194</v>
      </c>
      <c r="G44" s="40" t="s">
        <v>8</v>
      </c>
      <c r="H44" s="62">
        <v>1</v>
      </c>
      <c r="I44" s="70">
        <v>0</v>
      </c>
      <c r="J44" s="71">
        <f>1.15*(98+282)</f>
        <v>436.99999999999994</v>
      </c>
      <c r="L44" s="78"/>
      <c r="M44" s="75"/>
      <c r="N44" s="78"/>
      <c r="O44" s="75"/>
    </row>
    <row r="45" spans="2:15" x14ac:dyDescent="0.25">
      <c r="B45" s="8"/>
      <c r="C45" s="9" t="s">
        <v>382</v>
      </c>
      <c r="D45" s="10" t="s">
        <v>193</v>
      </c>
      <c r="E45" s="37" t="s">
        <v>9</v>
      </c>
      <c r="F45" s="10" t="s">
        <v>194</v>
      </c>
      <c r="G45" s="40" t="s">
        <v>8</v>
      </c>
      <c r="H45" s="62">
        <v>1</v>
      </c>
      <c r="I45" s="70">
        <v>0</v>
      </c>
      <c r="J45" s="71">
        <f>1.15*(115+332)</f>
        <v>514.04999999999995</v>
      </c>
      <c r="L45" s="78"/>
      <c r="M45" s="75"/>
      <c r="N45" s="78"/>
      <c r="O45" s="75"/>
    </row>
    <row r="46" spans="2:15" x14ac:dyDescent="0.25">
      <c r="B46" s="8"/>
      <c r="C46" s="9" t="s">
        <v>383</v>
      </c>
      <c r="D46" s="10" t="s">
        <v>193</v>
      </c>
      <c r="E46" s="37" t="s">
        <v>9</v>
      </c>
      <c r="F46" s="10" t="s">
        <v>194</v>
      </c>
      <c r="G46" s="40" t="s">
        <v>8</v>
      </c>
      <c r="H46" s="62">
        <v>1</v>
      </c>
      <c r="I46" s="70">
        <v>0</v>
      </c>
      <c r="J46" s="71">
        <f>1.15*(84+151)</f>
        <v>270.25</v>
      </c>
      <c r="L46" s="78"/>
      <c r="M46" s="75"/>
      <c r="N46" s="78"/>
      <c r="O46" s="75"/>
    </row>
    <row r="47" spans="2:15" x14ac:dyDescent="0.25">
      <c r="B47" s="8"/>
      <c r="C47" s="9" t="s">
        <v>384</v>
      </c>
      <c r="D47" s="10" t="s">
        <v>193</v>
      </c>
      <c r="E47" s="37" t="s">
        <v>9</v>
      </c>
      <c r="F47" s="10" t="s">
        <v>194</v>
      </c>
      <c r="G47" s="40" t="s">
        <v>8</v>
      </c>
      <c r="H47" s="62">
        <v>1</v>
      </c>
      <c r="I47" s="70">
        <v>0</v>
      </c>
      <c r="J47" s="71">
        <f>1.15*(75+136)</f>
        <v>242.64999999999998</v>
      </c>
      <c r="L47" s="78"/>
      <c r="M47" s="75"/>
      <c r="N47" s="78"/>
      <c r="O47" s="75"/>
    </row>
    <row r="48" spans="2:15" x14ac:dyDescent="0.25">
      <c r="B48" s="8"/>
      <c r="C48" s="9" t="s">
        <v>385</v>
      </c>
      <c r="D48" s="10" t="s">
        <v>193</v>
      </c>
      <c r="E48" s="37" t="s">
        <v>9</v>
      </c>
      <c r="F48" s="10" t="s">
        <v>194</v>
      </c>
      <c r="G48" s="40" t="s">
        <v>8</v>
      </c>
      <c r="H48" s="62">
        <v>1</v>
      </c>
      <c r="I48" s="70">
        <v>0</v>
      </c>
      <c r="J48" s="71">
        <f>1.15*(83+240)</f>
        <v>371.45</v>
      </c>
      <c r="L48" s="78"/>
      <c r="M48" s="75"/>
      <c r="N48" s="78"/>
      <c r="O48" s="75"/>
    </row>
    <row r="49" spans="2:23" x14ac:dyDescent="0.25">
      <c r="B49" s="8"/>
      <c r="C49" s="9" t="s">
        <v>386</v>
      </c>
      <c r="D49" s="10" t="s">
        <v>193</v>
      </c>
      <c r="E49" s="37" t="s">
        <v>9</v>
      </c>
      <c r="F49" s="10" t="s">
        <v>194</v>
      </c>
      <c r="G49" s="40" t="s">
        <v>8</v>
      </c>
      <c r="H49" s="62">
        <v>1</v>
      </c>
      <c r="I49" s="70">
        <v>0</v>
      </c>
      <c r="J49" s="71">
        <f>1.15*(84+151)</f>
        <v>270.25</v>
      </c>
      <c r="L49" s="78"/>
      <c r="M49" s="75"/>
      <c r="N49" s="78"/>
      <c r="O49" s="75"/>
    </row>
    <row r="50" spans="2:23" x14ac:dyDescent="0.25">
      <c r="B50" s="8"/>
      <c r="C50" s="9" t="s">
        <v>387</v>
      </c>
      <c r="D50" s="10" t="s">
        <v>193</v>
      </c>
      <c r="E50" s="37" t="s">
        <v>9</v>
      </c>
      <c r="F50" s="10" t="s">
        <v>194</v>
      </c>
      <c r="G50" s="40" t="s">
        <v>8</v>
      </c>
      <c r="H50" s="62">
        <v>1</v>
      </c>
      <c r="I50" s="70">
        <v>0</v>
      </c>
      <c r="J50" s="71">
        <f>1.15*(84+242)</f>
        <v>374.9</v>
      </c>
      <c r="L50" s="78"/>
      <c r="M50" s="75"/>
      <c r="N50" s="78"/>
      <c r="O50" s="75"/>
    </row>
    <row r="51" spans="2:23" x14ac:dyDescent="0.25">
      <c r="B51" s="8"/>
      <c r="C51" s="145"/>
      <c r="D51" s="146"/>
      <c r="E51" s="146"/>
      <c r="F51" s="146"/>
      <c r="G51" s="146"/>
      <c r="H51" s="147"/>
      <c r="I51" s="70"/>
      <c r="J51" s="71"/>
      <c r="L51" s="78"/>
      <c r="M51" s="75"/>
      <c r="N51" s="78"/>
      <c r="O51" s="75"/>
    </row>
    <row r="52" spans="2:23" ht="30" x14ac:dyDescent="0.25">
      <c r="B52" s="8"/>
      <c r="C52" s="41" t="s">
        <v>388</v>
      </c>
      <c r="D52" s="10" t="s">
        <v>56</v>
      </c>
      <c r="E52" s="37" t="s">
        <v>9</v>
      </c>
      <c r="F52" s="37" t="s">
        <v>350</v>
      </c>
      <c r="G52" s="40" t="s">
        <v>8</v>
      </c>
      <c r="H52" s="117">
        <v>1</v>
      </c>
      <c r="I52" s="70">
        <f>7860*(O3*(1.32-2*0.025)*(M52+Q52))*1.5+7860*(O3*(0.78-2*0.025)*U52)*2</f>
        <v>16.594381856396716</v>
      </c>
      <c r="J52" s="71">
        <f>1.15*(7860*(Q3*(3.33+3.26)*O52))*1.5+1.15*(7860*(R3*2.64*W52))*2</f>
        <v>125.23439446986916</v>
      </c>
      <c r="L52" s="85">
        <f>3.33/0.25</f>
        <v>13.32</v>
      </c>
      <c r="M52" s="86">
        <v>15</v>
      </c>
      <c r="N52" s="85">
        <f>(1.32-2*0.025)/0.1</f>
        <v>12.7</v>
      </c>
      <c r="O52" s="86">
        <v>14</v>
      </c>
      <c r="P52" s="6">
        <f>3.26/0.25</f>
        <v>13.04</v>
      </c>
      <c r="Q52" s="6">
        <v>15</v>
      </c>
      <c r="T52" s="6">
        <f>(2.64-2*0.025)/0.25</f>
        <v>10.360000000000001</v>
      </c>
      <c r="U52" s="6">
        <v>12</v>
      </c>
      <c r="V52">
        <f>(0.78-2*0.025)/0.2</f>
        <v>3.65</v>
      </c>
      <c r="W52">
        <v>5</v>
      </c>
    </row>
    <row r="53" spans="2:23" x14ac:dyDescent="0.25">
      <c r="B53" s="8"/>
      <c r="C53" s="9" t="s">
        <v>389</v>
      </c>
      <c r="D53" s="10" t="s">
        <v>63</v>
      </c>
      <c r="E53" s="37" t="s">
        <v>9</v>
      </c>
      <c r="F53" s="10" t="s">
        <v>190</v>
      </c>
      <c r="G53" s="38">
        <v>3.14</v>
      </c>
      <c r="H53" s="111">
        <v>1</v>
      </c>
      <c r="I53" s="70">
        <f>7860*O3*(2*(0.24+0.38)+2*0.1-8*0.025)*M53</f>
        <v>5.2358863872600327</v>
      </c>
      <c r="J53" s="71">
        <f>1.15*(7860*(T3*G53*O53))+1.15*(7860*(R3*G53*Q53))</f>
        <v>17.833225565361232</v>
      </c>
      <c r="L53" s="85">
        <f>(G53-2*0.25)/0.15</f>
        <v>17.600000000000001</v>
      </c>
      <c r="M53" s="86">
        <v>19</v>
      </c>
      <c r="N53" s="85"/>
      <c r="O53" s="86">
        <f>2</f>
        <v>2</v>
      </c>
      <c r="P53" s="6"/>
      <c r="Q53" s="6">
        <f>2</f>
        <v>2</v>
      </c>
    </row>
    <row r="54" spans="2:23" x14ac:dyDescent="0.25">
      <c r="B54" s="8"/>
      <c r="C54" s="9" t="s">
        <v>390</v>
      </c>
      <c r="D54" s="10" t="s">
        <v>63</v>
      </c>
      <c r="E54" s="37" t="s">
        <v>9</v>
      </c>
      <c r="F54" s="10" t="s">
        <v>191</v>
      </c>
      <c r="G54" s="101">
        <v>2.64</v>
      </c>
      <c r="H54" s="111">
        <v>1</v>
      </c>
      <c r="I54" s="70">
        <f>7860*O3*(2*(0.54+0.2)+2*0.1-6*0.025)*M54*2</f>
        <v>12.920816407270724</v>
      </c>
      <c r="J54" s="71">
        <f>1.15*(7860*(R3*G54*O54))</f>
        <v>29.687209132247208</v>
      </c>
      <c r="L54" s="85">
        <f>(G54)/0.15</f>
        <v>17.600000000000001</v>
      </c>
      <c r="M54" s="86">
        <v>19</v>
      </c>
      <c r="N54" s="85"/>
      <c r="O54" s="86">
        <f>4+7</f>
        <v>11</v>
      </c>
    </row>
    <row r="55" spans="2:23" x14ac:dyDescent="0.25">
      <c r="C55" s="159"/>
      <c r="D55" s="137"/>
      <c r="E55" s="137"/>
      <c r="F55" s="137"/>
      <c r="G55" s="137"/>
      <c r="H55" s="160"/>
      <c r="I55" s="70"/>
      <c r="J55" s="71"/>
      <c r="L55" s="85"/>
      <c r="M55" s="86"/>
      <c r="N55" s="85"/>
      <c r="O55" s="86"/>
    </row>
    <row r="56" spans="2:23" ht="45.75" thickBot="1" x14ac:dyDescent="0.3">
      <c r="C56" s="51" t="s">
        <v>449</v>
      </c>
      <c r="D56" s="42" t="s">
        <v>444</v>
      </c>
      <c r="E56" s="43" t="s">
        <v>445</v>
      </c>
      <c r="F56" s="43" t="s">
        <v>456</v>
      </c>
      <c r="G56" s="44">
        <v>3.65</v>
      </c>
      <c r="H56" s="118">
        <v>1</v>
      </c>
      <c r="I56" s="72"/>
      <c r="J56" s="73"/>
      <c r="L56" s="90"/>
      <c r="M56" s="91"/>
      <c r="N56" s="90"/>
      <c r="O56" s="91"/>
    </row>
    <row r="57" spans="2:23" ht="15.75" thickBot="1" x14ac:dyDescent="0.3">
      <c r="C57" s="126" t="s">
        <v>648</v>
      </c>
      <c r="D57" s="126"/>
      <c r="E57" s="126"/>
      <c r="F57" s="126"/>
      <c r="G57" s="126"/>
      <c r="H57" s="126"/>
      <c r="I57" s="119">
        <f>SUM(I7:I56)</f>
        <v>783.49172747968487</v>
      </c>
      <c r="J57" s="120">
        <f>SUM(J7:J56)</f>
        <v>24763.15308233317</v>
      </c>
      <c r="L57" s="6"/>
      <c r="M57" s="6"/>
      <c r="N57" s="6"/>
      <c r="O57" s="6"/>
    </row>
    <row r="58" spans="2:23" x14ac:dyDescent="0.25">
      <c r="L58" s="6"/>
      <c r="M58" s="6"/>
      <c r="N58" s="6"/>
      <c r="O58" s="6"/>
    </row>
    <row r="59" spans="2:23" x14ac:dyDescent="0.25">
      <c r="L59" s="6"/>
      <c r="M59" s="6"/>
      <c r="N59" s="6"/>
      <c r="O59" s="6"/>
    </row>
    <row r="60" spans="2:23" x14ac:dyDescent="0.25">
      <c r="L60" s="6"/>
      <c r="M60" s="6"/>
      <c r="N60" s="6"/>
      <c r="O60" s="6"/>
    </row>
    <row r="61" spans="2:23" x14ac:dyDescent="0.25">
      <c r="L61" s="80"/>
      <c r="M61" s="80"/>
      <c r="N61" s="80"/>
      <c r="O61" s="80"/>
    </row>
    <row r="62" spans="2:23" x14ac:dyDescent="0.25">
      <c r="L62" s="80"/>
      <c r="M62" s="80"/>
      <c r="N62" s="80"/>
      <c r="O62" s="80"/>
    </row>
    <row r="63" spans="2:23" x14ac:dyDescent="0.25">
      <c r="L63" s="80"/>
      <c r="M63" s="80"/>
      <c r="N63" s="80"/>
      <c r="O63" s="80"/>
    </row>
    <row r="64" spans="2:23" x14ac:dyDescent="0.25">
      <c r="L64" s="80"/>
      <c r="M64" s="80"/>
      <c r="N64" s="80"/>
      <c r="O64" s="80"/>
    </row>
    <row r="65" spans="12:15" x14ac:dyDescent="0.25">
      <c r="L65" s="80"/>
      <c r="M65" s="80"/>
      <c r="N65" s="80"/>
      <c r="O65" s="80"/>
    </row>
    <row r="66" spans="12:15" x14ac:dyDescent="0.25">
      <c r="L66" s="80"/>
      <c r="M66" s="80"/>
      <c r="N66" s="80"/>
      <c r="O66" s="80"/>
    </row>
  </sheetData>
  <mergeCells count="13">
    <mergeCell ref="I4:J4"/>
    <mergeCell ref="C57:H57"/>
    <mergeCell ref="C55:H55"/>
    <mergeCell ref="C29:H29"/>
    <mergeCell ref="C41:H41"/>
    <mergeCell ref="C43:H43"/>
    <mergeCell ref="C51:H51"/>
    <mergeCell ref="C25:H25"/>
    <mergeCell ref="C4:H4"/>
    <mergeCell ref="C6:H6"/>
    <mergeCell ref="C8:H8"/>
    <mergeCell ref="C12:H12"/>
    <mergeCell ref="C14:H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733BB-D6C7-46F9-9595-6394D3083002}">
  <dimension ref="B1:W57"/>
  <sheetViews>
    <sheetView topLeftCell="A36" workbookViewId="0">
      <selection activeCell="J57" sqref="J57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28515625" customWidth="1"/>
  </cols>
  <sheetData>
    <row r="1" spans="2:22" x14ac:dyDescent="0.25">
      <c r="B1" s="8"/>
      <c r="C1" s="32"/>
      <c r="D1" s="33"/>
      <c r="E1" s="34"/>
      <c r="F1" s="33"/>
      <c r="G1" s="35"/>
      <c r="H1" s="32"/>
    </row>
    <row r="2" spans="2:22" x14ac:dyDescent="0.25">
      <c r="B2" s="8"/>
      <c r="C2" s="32"/>
      <c r="D2" s="33"/>
      <c r="E2" s="34"/>
      <c r="F2" s="33"/>
      <c r="G2" s="35"/>
      <c r="H2" s="32"/>
      <c r="O2" s="67" t="str">
        <f>F!O2</f>
        <v>6 [m2]</v>
      </c>
      <c r="P2" s="67" t="str">
        <f>F!P2</f>
        <v>8 [m2]</v>
      </c>
      <c r="Q2" s="67" t="str">
        <f>F!Q2</f>
        <v>10 [m2]</v>
      </c>
      <c r="R2" s="67" t="str">
        <f>F!R2</f>
        <v>12 [m2]</v>
      </c>
      <c r="S2" s="67" t="str">
        <f>F!S2</f>
        <v>14 [m2]</v>
      </c>
      <c r="T2" s="67" t="str">
        <f>F!T2</f>
        <v>16 [m2]</v>
      </c>
      <c r="U2" s="67" t="str">
        <f>F!U2</f>
        <v>20 [m2]</v>
      </c>
      <c r="V2" s="67" t="str">
        <f>F!V2</f>
        <v>24 [m2]</v>
      </c>
    </row>
    <row r="3" spans="2:22" ht="15.75" thickBot="1" x14ac:dyDescent="0.3">
      <c r="B3" s="8"/>
      <c r="C3" s="32"/>
      <c r="D3" s="33"/>
      <c r="E3" s="34"/>
      <c r="F3" s="33"/>
      <c r="G3" s="35"/>
      <c r="H3" s="32"/>
      <c r="O3" s="67">
        <f>F!O3</f>
        <v>2.8274333882308137E-5</v>
      </c>
      <c r="P3" s="67">
        <f>F!P3</f>
        <v>5.0265482457436686E-5</v>
      </c>
      <c r="Q3" s="67">
        <f>F!Q3</f>
        <v>7.8539816339744827E-5</v>
      </c>
      <c r="R3" s="67">
        <f>F!R3</f>
        <v>1.1309733552923255E-4</v>
      </c>
      <c r="S3" s="67">
        <f>F!S3</f>
        <v>1.5393804002589989E-4</v>
      </c>
      <c r="T3" s="67">
        <f>F!T3</f>
        <v>2.0106192982974675E-4</v>
      </c>
      <c r="U3" s="67">
        <f>F!U3</f>
        <v>3.1415926535897931E-4</v>
      </c>
      <c r="V3" s="67">
        <f>F!V3</f>
        <v>4.523893421169302E-4</v>
      </c>
    </row>
    <row r="4" spans="2:22" ht="15.75" thickBot="1" x14ac:dyDescent="0.3">
      <c r="B4" s="8"/>
      <c r="C4" s="131" t="s">
        <v>3</v>
      </c>
      <c r="D4" s="132"/>
      <c r="E4" s="132"/>
      <c r="F4" s="132"/>
      <c r="G4" s="132"/>
      <c r="H4" s="135"/>
      <c r="I4" s="124" t="s">
        <v>647</v>
      </c>
      <c r="J4" s="125"/>
      <c r="L4" s="2" t="s">
        <v>544</v>
      </c>
    </row>
    <row r="5" spans="2:22" ht="26.25" thickBot="1" x14ac:dyDescent="0.3">
      <c r="B5" s="8"/>
      <c r="C5" s="45" t="s">
        <v>2</v>
      </c>
      <c r="D5" s="46" t="s">
        <v>0</v>
      </c>
      <c r="E5" s="47" t="s">
        <v>4</v>
      </c>
      <c r="F5" s="47" t="s">
        <v>5</v>
      </c>
      <c r="G5" s="47" t="s">
        <v>1</v>
      </c>
      <c r="H5" s="48" t="s">
        <v>6</v>
      </c>
      <c r="I5" s="98" t="s">
        <v>649</v>
      </c>
      <c r="J5" s="99" t="s">
        <v>650</v>
      </c>
      <c r="L5" s="2"/>
    </row>
    <row r="6" spans="2:22" x14ac:dyDescent="0.25">
      <c r="B6" s="8"/>
      <c r="C6" s="133"/>
      <c r="D6" s="134"/>
      <c r="E6" s="134"/>
      <c r="F6" s="134"/>
      <c r="G6" s="134"/>
      <c r="H6" s="134"/>
      <c r="I6" s="68"/>
      <c r="J6" s="69"/>
    </row>
    <row r="7" spans="2:22" ht="30" x14ac:dyDescent="0.25">
      <c r="B7" s="8"/>
      <c r="C7" s="14" t="s">
        <v>546</v>
      </c>
      <c r="D7" s="36" t="s">
        <v>165</v>
      </c>
      <c r="E7" s="11" t="s">
        <v>8</v>
      </c>
      <c r="F7" s="10" t="s">
        <v>269</v>
      </c>
      <c r="G7" s="38">
        <v>1.4</v>
      </c>
      <c r="H7" s="110">
        <v>5</v>
      </c>
      <c r="I7" s="70"/>
      <c r="J7" s="71"/>
      <c r="L7" s="83"/>
      <c r="M7" s="84"/>
      <c r="N7" s="83"/>
      <c r="O7" s="84"/>
    </row>
    <row r="8" spans="2:22" x14ac:dyDescent="0.25">
      <c r="B8" s="8"/>
      <c r="C8" s="150"/>
      <c r="D8" s="151"/>
      <c r="E8" s="151"/>
      <c r="F8" s="151"/>
      <c r="G8" s="151"/>
      <c r="H8" s="151"/>
      <c r="I8" s="70"/>
      <c r="J8" s="71"/>
      <c r="L8" s="78"/>
      <c r="M8" s="75"/>
      <c r="N8" s="78"/>
      <c r="O8" s="75"/>
    </row>
    <row r="9" spans="2:22" x14ac:dyDescent="0.25">
      <c r="B9" s="8"/>
      <c r="C9" s="14" t="s">
        <v>547</v>
      </c>
      <c r="D9" s="36" t="s">
        <v>266</v>
      </c>
      <c r="E9" s="37" t="s">
        <v>9</v>
      </c>
      <c r="F9" s="10" t="s">
        <v>64</v>
      </c>
      <c r="G9" s="38">
        <v>2.2000000000000002</v>
      </c>
      <c r="H9" s="110">
        <v>1</v>
      </c>
      <c r="I9" s="70">
        <f>7860*O3*(2*(0.25+0.3)+2*0.1-8*0.025)*M9*H9</f>
        <v>2.4445989074643619</v>
      </c>
      <c r="J9" s="71">
        <f>1.15*(7860*(R3*G9*O9))*H9</f>
        <v>8.9961239794688499</v>
      </c>
      <c r="L9" s="85">
        <f>(G9-0.5)/0.2</f>
        <v>8.5</v>
      </c>
      <c r="M9" s="86">
        <v>10</v>
      </c>
      <c r="N9" s="85"/>
      <c r="O9" s="86">
        <f>2+2</f>
        <v>4</v>
      </c>
    </row>
    <row r="10" spans="2:22" x14ac:dyDescent="0.25">
      <c r="B10" s="8"/>
      <c r="C10" s="14" t="s">
        <v>462</v>
      </c>
      <c r="D10" s="36" t="s">
        <v>266</v>
      </c>
      <c r="E10" s="37" t="s">
        <v>9</v>
      </c>
      <c r="F10" s="10" t="s">
        <v>264</v>
      </c>
      <c r="G10" s="38">
        <v>1.5</v>
      </c>
      <c r="H10" s="110">
        <v>1</v>
      </c>
      <c r="I10" s="70">
        <f>7860*O3*(2*(0.24+0.24)+2*0.1-8*0.025)*M10*H10</f>
        <v>1.7067745099387541</v>
      </c>
      <c r="J10" s="71">
        <f>1.15*(7860*(R3*G10*O10))*H10</f>
        <v>6.1337208950923978</v>
      </c>
      <c r="L10" s="85">
        <f>(G10-0.5)/0.15</f>
        <v>6.666666666666667</v>
      </c>
      <c r="M10" s="86">
        <v>8</v>
      </c>
      <c r="N10" s="85"/>
      <c r="O10" s="86">
        <f t="shared" ref="O10:O11" si="0">2+2</f>
        <v>4</v>
      </c>
    </row>
    <row r="11" spans="2:22" x14ac:dyDescent="0.25">
      <c r="B11" s="8"/>
      <c r="C11" s="9" t="s">
        <v>463</v>
      </c>
      <c r="D11" s="36" t="s">
        <v>266</v>
      </c>
      <c r="E11" s="37" t="s">
        <v>9</v>
      </c>
      <c r="F11" s="10" t="s">
        <v>264</v>
      </c>
      <c r="G11" s="38">
        <v>1.75</v>
      </c>
      <c r="H11" s="110">
        <v>1</v>
      </c>
      <c r="I11" s="70">
        <f>7860*O3*(2*(0.24+0.24)+2*0.1-8*0.025)*M11*H11</f>
        <v>2.1334681374234425</v>
      </c>
      <c r="J11" s="71">
        <f>1.15*(7860*(R3*G11*O11))*H11</f>
        <v>7.1560077109411298</v>
      </c>
      <c r="L11" s="85">
        <f>(G11-0.5)/0.15</f>
        <v>8.3333333333333339</v>
      </c>
      <c r="M11" s="86">
        <v>10</v>
      </c>
      <c r="N11" s="85"/>
      <c r="O11" s="86">
        <f t="shared" si="0"/>
        <v>4</v>
      </c>
    </row>
    <row r="12" spans="2:22" x14ac:dyDescent="0.25">
      <c r="B12" s="8"/>
      <c r="C12" s="150"/>
      <c r="D12" s="151"/>
      <c r="E12" s="151"/>
      <c r="F12" s="151"/>
      <c r="G12" s="151"/>
      <c r="H12" s="151"/>
      <c r="I12" s="70"/>
      <c r="J12" s="71"/>
      <c r="L12" s="85"/>
      <c r="M12" s="86"/>
      <c r="N12" s="85"/>
      <c r="O12" s="86"/>
    </row>
    <row r="13" spans="2:22" x14ac:dyDescent="0.25">
      <c r="B13" s="8"/>
      <c r="C13" s="9" t="s">
        <v>548</v>
      </c>
      <c r="D13" s="10" t="s">
        <v>7</v>
      </c>
      <c r="E13" s="37" t="s">
        <v>9</v>
      </c>
      <c r="F13" s="10" t="s">
        <v>270</v>
      </c>
      <c r="G13" s="20">
        <v>2.2000000000000002</v>
      </c>
      <c r="H13" s="62">
        <v>1</v>
      </c>
      <c r="I13" s="93">
        <f>7860*O3*(2*(0.16+0.35)+2*0.1-6*0.025)*M13*2</f>
        <v>6.1826128732416841</v>
      </c>
      <c r="J13" s="87">
        <f>1.15*(7860*(T3*G13*O13))</f>
        <v>31.986218593667022</v>
      </c>
      <c r="L13" s="78">
        <f>(G13-2*0.25)/0.15</f>
        <v>11.333333333333336</v>
      </c>
      <c r="M13" s="75">
        <v>13</v>
      </c>
      <c r="N13" s="78"/>
      <c r="O13" s="75">
        <f>4+4</f>
        <v>8</v>
      </c>
    </row>
    <row r="14" spans="2:22" x14ac:dyDescent="0.25">
      <c r="B14" s="8"/>
      <c r="C14" s="150"/>
      <c r="D14" s="151"/>
      <c r="E14" s="151"/>
      <c r="F14" s="151"/>
      <c r="G14" s="151"/>
      <c r="H14" s="151"/>
      <c r="I14" s="70"/>
      <c r="J14" s="71"/>
      <c r="L14" s="85"/>
      <c r="M14" s="86"/>
      <c r="N14" s="85"/>
      <c r="O14" s="86"/>
    </row>
    <row r="15" spans="2:22" x14ac:dyDescent="0.25">
      <c r="B15" s="8"/>
      <c r="C15" s="9" t="s">
        <v>549</v>
      </c>
      <c r="D15" s="10" t="s">
        <v>52</v>
      </c>
      <c r="E15" s="37" t="s">
        <v>9</v>
      </c>
      <c r="F15" s="10" t="s">
        <v>155</v>
      </c>
      <c r="G15" s="21">
        <v>6.5</v>
      </c>
      <c r="H15" s="62">
        <v>1</v>
      </c>
      <c r="I15" s="70">
        <f>'2'!I15</f>
        <v>24.605999184950374</v>
      </c>
      <c r="J15" s="71">
        <f>'2'!J15</f>
        <v>105.4091294564027</v>
      </c>
      <c r="L15" s="85"/>
      <c r="M15" s="86"/>
      <c r="N15" s="85"/>
      <c r="O15" s="86"/>
    </row>
    <row r="16" spans="2:22" x14ac:dyDescent="0.25">
      <c r="B16" s="8"/>
      <c r="C16" s="9" t="s">
        <v>550</v>
      </c>
      <c r="D16" s="10" t="s">
        <v>52</v>
      </c>
      <c r="E16" s="37" t="s">
        <v>9</v>
      </c>
      <c r="F16" s="10" t="s">
        <v>155</v>
      </c>
      <c r="G16" s="21">
        <v>9.4499999999999993</v>
      </c>
      <c r="H16" s="62">
        <v>1</v>
      </c>
      <c r="I16" s="70">
        <f>'2'!I16</f>
        <v>32.295373930247365</v>
      </c>
      <c r="J16" s="71">
        <f>'2'!J16</f>
        <v>137.39534805006969</v>
      </c>
      <c r="L16" s="85"/>
      <c r="M16" s="86"/>
      <c r="N16" s="85"/>
      <c r="O16" s="86"/>
    </row>
    <row r="17" spans="2:15" x14ac:dyDescent="0.25">
      <c r="B17" s="8"/>
      <c r="C17" s="9" t="s">
        <v>551</v>
      </c>
      <c r="D17" s="10" t="s">
        <v>52</v>
      </c>
      <c r="E17" s="37" t="s">
        <v>9</v>
      </c>
      <c r="F17" s="10" t="s">
        <v>155</v>
      </c>
      <c r="G17" s="21">
        <v>11.9</v>
      </c>
      <c r="H17" s="62">
        <v>1</v>
      </c>
      <c r="I17" s="70">
        <f>'2'!I17</f>
        <v>44.598373522722554</v>
      </c>
      <c r="J17" s="71">
        <f>'2'!J17</f>
        <v>187.21479220909796</v>
      </c>
      <c r="L17" s="78"/>
      <c r="M17" s="75"/>
      <c r="N17" s="78"/>
      <c r="O17" s="75"/>
    </row>
    <row r="18" spans="2:15" x14ac:dyDescent="0.25">
      <c r="B18" s="8"/>
      <c r="C18" s="9" t="s">
        <v>552</v>
      </c>
      <c r="D18" s="10" t="s">
        <v>52</v>
      </c>
      <c r="E18" s="37" t="s">
        <v>9</v>
      </c>
      <c r="F18" s="10" t="s">
        <v>155</v>
      </c>
      <c r="G18" s="21">
        <v>22.1</v>
      </c>
      <c r="H18" s="62">
        <v>1</v>
      </c>
      <c r="I18" s="70">
        <f>'2'!I18</f>
        <v>76.124809978440226</v>
      </c>
      <c r="J18" s="71">
        <f>'2'!J18</f>
        <v>294.41860296443514</v>
      </c>
      <c r="L18" s="78"/>
      <c r="M18" s="75"/>
      <c r="N18" s="78"/>
      <c r="O18" s="75"/>
    </row>
    <row r="19" spans="2:15" x14ac:dyDescent="0.25">
      <c r="B19" s="8"/>
      <c r="C19" s="9" t="s">
        <v>553</v>
      </c>
      <c r="D19" s="10" t="s">
        <v>52</v>
      </c>
      <c r="E19" s="37" t="s">
        <v>9</v>
      </c>
      <c r="F19" s="10" t="s">
        <v>155</v>
      </c>
      <c r="G19" s="21">
        <v>18.149999999999999</v>
      </c>
      <c r="H19" s="62">
        <v>1</v>
      </c>
      <c r="I19" s="70">
        <f>'2'!I19</f>
        <v>67.666497758613531</v>
      </c>
      <c r="J19" s="71">
        <f>'2'!J19</f>
        <v>311.25225919874418</v>
      </c>
      <c r="L19" s="78"/>
      <c r="M19" s="75"/>
      <c r="N19" s="78"/>
      <c r="O19" s="75"/>
    </row>
    <row r="20" spans="2:15" x14ac:dyDescent="0.25">
      <c r="B20" s="8"/>
      <c r="C20" s="9" t="s">
        <v>554</v>
      </c>
      <c r="D20" s="10" t="s">
        <v>52</v>
      </c>
      <c r="E20" s="37" t="s">
        <v>9</v>
      </c>
      <c r="F20" s="10" t="s">
        <v>155</v>
      </c>
      <c r="G20" s="21">
        <v>11.18</v>
      </c>
      <c r="H20" s="62">
        <v>1</v>
      </c>
      <c r="I20" s="70">
        <f>'2'!I20</f>
        <v>38.446873726484959</v>
      </c>
      <c r="J20" s="71">
        <f>'2'!J20</f>
        <v>169.81774235183218</v>
      </c>
      <c r="L20" s="78"/>
      <c r="M20" s="75"/>
      <c r="N20" s="78"/>
      <c r="O20" s="75"/>
    </row>
    <row r="21" spans="2:15" x14ac:dyDescent="0.25">
      <c r="B21" s="8"/>
      <c r="C21" s="9" t="s">
        <v>555</v>
      </c>
      <c r="D21" s="10" t="s">
        <v>52</v>
      </c>
      <c r="E21" s="37" t="s">
        <v>9</v>
      </c>
      <c r="F21" s="10" t="s">
        <v>155</v>
      </c>
      <c r="G21" s="21">
        <v>11.85</v>
      </c>
      <c r="H21" s="62">
        <v>1</v>
      </c>
      <c r="I21" s="70">
        <f>'2'!I21</f>
        <v>44.598373522722554</v>
      </c>
      <c r="J21" s="71">
        <f>'2'!J21</f>
        <v>181.37639861636185</v>
      </c>
      <c r="L21" s="78"/>
      <c r="M21" s="75"/>
      <c r="N21" s="78"/>
      <c r="O21" s="75"/>
    </row>
    <row r="22" spans="2:15" x14ac:dyDescent="0.25">
      <c r="B22" s="8"/>
      <c r="C22" s="9" t="s">
        <v>556</v>
      </c>
      <c r="D22" s="10" t="s">
        <v>52</v>
      </c>
      <c r="E22" s="37" t="s">
        <v>9</v>
      </c>
      <c r="F22" s="10" t="s">
        <v>155</v>
      </c>
      <c r="G22" s="21">
        <v>15.8</v>
      </c>
      <c r="H22" s="62">
        <v>1</v>
      </c>
      <c r="I22" s="70">
        <f>'2'!I22</f>
        <v>53.825623217078942</v>
      </c>
      <c r="J22" s="71">
        <f>'2'!J22</f>
        <v>238.80620018226404</v>
      </c>
      <c r="L22" s="85"/>
      <c r="M22" s="86"/>
      <c r="N22" s="85"/>
      <c r="O22" s="86"/>
    </row>
    <row r="23" spans="2:15" x14ac:dyDescent="0.25">
      <c r="B23" s="8"/>
      <c r="C23" s="9" t="s">
        <v>557</v>
      </c>
      <c r="D23" s="10" t="s">
        <v>52</v>
      </c>
      <c r="E23" s="37" t="s">
        <v>9</v>
      </c>
      <c r="F23" s="10" t="s">
        <v>155</v>
      </c>
      <c r="G23" s="21">
        <v>6.2</v>
      </c>
      <c r="H23" s="62">
        <v>1</v>
      </c>
      <c r="I23" s="70">
        <f>'2'!I23</f>
        <v>23.068124235890977</v>
      </c>
      <c r="J23" s="71">
        <f>'2'!J23</f>
        <v>101.04737237544809</v>
      </c>
      <c r="L23" s="85"/>
      <c r="M23" s="86"/>
      <c r="N23" s="85"/>
      <c r="O23" s="86"/>
    </row>
    <row r="24" spans="2:15" x14ac:dyDescent="0.25">
      <c r="B24" s="8"/>
      <c r="C24" s="9" t="s">
        <v>558</v>
      </c>
      <c r="D24" s="10" t="s">
        <v>52</v>
      </c>
      <c r="E24" s="37" t="s">
        <v>9</v>
      </c>
      <c r="F24" s="10" t="s">
        <v>155</v>
      </c>
      <c r="G24" s="21">
        <v>6.2</v>
      </c>
      <c r="H24" s="62">
        <v>1</v>
      </c>
      <c r="I24" s="70">
        <f>'2'!I24</f>
        <v>23.068124235890977</v>
      </c>
      <c r="J24" s="71">
        <f>'2'!J24</f>
        <v>115.49569270611019</v>
      </c>
      <c r="L24" s="85"/>
      <c r="M24" s="86"/>
      <c r="N24" s="85"/>
      <c r="O24" s="86"/>
    </row>
    <row r="25" spans="2:15" x14ac:dyDescent="0.25">
      <c r="B25" s="8"/>
      <c r="C25" s="127"/>
      <c r="D25" s="128"/>
      <c r="E25" s="128"/>
      <c r="F25" s="128"/>
      <c r="G25" s="128"/>
      <c r="H25" s="128"/>
      <c r="I25" s="70"/>
      <c r="J25" s="71"/>
      <c r="L25" s="85"/>
      <c r="M25" s="86"/>
      <c r="N25" s="85"/>
      <c r="O25" s="86"/>
    </row>
    <row r="26" spans="2:15" x14ac:dyDescent="0.25">
      <c r="B26" s="8"/>
      <c r="C26" s="9" t="s">
        <v>559</v>
      </c>
      <c r="D26" s="10" t="s">
        <v>10</v>
      </c>
      <c r="E26" s="37" t="s">
        <v>9</v>
      </c>
      <c r="F26" s="10" t="s">
        <v>89</v>
      </c>
      <c r="G26" s="21">
        <v>3.15</v>
      </c>
      <c r="H26" s="62">
        <v>7</v>
      </c>
      <c r="I26" s="70">
        <f>7860*O3*(2*(0.54+0.4)+2*0.1-6*0.025)*M26*2*H26</f>
        <v>78.062710203266505</v>
      </c>
      <c r="J26" s="71">
        <f>1.15*(7860*(T3*G26*O26))*H26</f>
        <v>320.58914545016262</v>
      </c>
      <c r="L26" s="78">
        <f>(G26-0.24)/0.25</f>
        <v>11.64</v>
      </c>
      <c r="M26" s="75">
        <v>13</v>
      </c>
      <c r="N26" s="78"/>
      <c r="O26" s="75">
        <f>4+4</f>
        <v>8</v>
      </c>
    </row>
    <row r="27" spans="2:15" x14ac:dyDescent="0.25">
      <c r="B27" s="8"/>
      <c r="C27" s="9" t="s">
        <v>560</v>
      </c>
      <c r="D27" s="10" t="s">
        <v>10</v>
      </c>
      <c r="E27" s="37" t="s">
        <v>9</v>
      </c>
      <c r="F27" s="10" t="s">
        <v>89</v>
      </c>
      <c r="G27" s="21">
        <v>3.15</v>
      </c>
      <c r="H27" s="62">
        <v>13</v>
      </c>
      <c r="I27" s="70">
        <f>7860*O3*(2*(0.54+0.4)+2*0.1-6*0.025)*M27*2*H27</f>
        <v>144.97360466320924</v>
      </c>
      <c r="J27" s="71">
        <f>1.15*(7860*(T3*G27*O27))*H27</f>
        <v>595.37984155030199</v>
      </c>
      <c r="L27" s="78">
        <f t="shared" ref="L27:L28" si="1">(G27-0.24)/0.25</f>
        <v>11.64</v>
      </c>
      <c r="M27" s="75">
        <v>13</v>
      </c>
      <c r="N27" s="78"/>
      <c r="O27" s="75">
        <f t="shared" ref="O27:O28" si="2">4+4</f>
        <v>8</v>
      </c>
    </row>
    <row r="28" spans="2:15" x14ac:dyDescent="0.25">
      <c r="B28" s="8"/>
      <c r="C28" s="9" t="s">
        <v>561</v>
      </c>
      <c r="D28" s="10" t="s">
        <v>10</v>
      </c>
      <c r="E28" s="37" t="s">
        <v>9</v>
      </c>
      <c r="F28" s="10" t="s">
        <v>89</v>
      </c>
      <c r="G28" s="21">
        <v>3.15</v>
      </c>
      <c r="H28" s="62">
        <v>6</v>
      </c>
      <c r="I28" s="70">
        <f>7860*O3*(2*(0.54+0.4)+2*0.1-6*0.025)*M28*2*H28</f>
        <v>66.910894459942725</v>
      </c>
      <c r="J28" s="71">
        <f>1.15*(7860*(T3*G28*O28))*H28</f>
        <v>274.79069610013937</v>
      </c>
      <c r="L28" s="78">
        <f t="shared" si="1"/>
        <v>11.64</v>
      </c>
      <c r="M28" s="75">
        <v>13</v>
      </c>
      <c r="N28" s="78"/>
      <c r="O28" s="75">
        <f t="shared" si="2"/>
        <v>8</v>
      </c>
    </row>
    <row r="29" spans="2:15" x14ac:dyDescent="0.25">
      <c r="B29" s="8"/>
      <c r="C29" s="127"/>
      <c r="D29" s="128"/>
      <c r="E29" s="128"/>
      <c r="F29" s="128"/>
      <c r="G29" s="128"/>
      <c r="H29" s="128"/>
      <c r="I29" s="70"/>
      <c r="J29" s="87"/>
      <c r="L29" s="78"/>
      <c r="M29" s="75"/>
      <c r="N29" s="78"/>
      <c r="O29" s="75"/>
    </row>
    <row r="30" spans="2:15" x14ac:dyDescent="0.25">
      <c r="B30" s="8"/>
      <c r="C30" s="95" t="s">
        <v>562</v>
      </c>
      <c r="D30" s="10" t="s">
        <v>15</v>
      </c>
      <c r="E30" s="37" t="s">
        <v>9</v>
      </c>
      <c r="F30" s="10" t="s">
        <v>16</v>
      </c>
      <c r="G30" s="38">
        <v>6.5</v>
      </c>
      <c r="H30" s="62">
        <v>1</v>
      </c>
      <c r="I30" s="107">
        <v>0</v>
      </c>
      <c r="J30" s="103">
        <f>16.4*(G30*3.14-1.22*2.26)</f>
        <v>289.50591999999995</v>
      </c>
      <c r="L30" s="78"/>
      <c r="M30" s="75"/>
      <c r="N30" s="78"/>
      <c r="O30" s="75"/>
    </row>
    <row r="31" spans="2:15" x14ac:dyDescent="0.25">
      <c r="B31" s="8"/>
      <c r="C31" s="95" t="s">
        <v>563</v>
      </c>
      <c r="D31" s="10" t="s">
        <v>15</v>
      </c>
      <c r="E31" s="37" t="s">
        <v>9</v>
      </c>
      <c r="F31" s="10" t="s">
        <v>16</v>
      </c>
      <c r="G31" s="38">
        <v>2.95</v>
      </c>
      <c r="H31" s="62">
        <v>1</v>
      </c>
      <c r="I31" s="107">
        <v>0</v>
      </c>
      <c r="J31" s="103">
        <f>16.4*(G31*3.14)</f>
        <v>151.91320000000002</v>
      </c>
      <c r="L31" s="78"/>
      <c r="M31" s="75"/>
      <c r="N31" s="78"/>
      <c r="O31" s="75"/>
    </row>
    <row r="32" spans="2:15" x14ac:dyDescent="0.25">
      <c r="B32" s="8"/>
      <c r="C32" s="95" t="s">
        <v>564</v>
      </c>
      <c r="D32" s="10" t="s">
        <v>15</v>
      </c>
      <c r="E32" s="37" t="s">
        <v>9</v>
      </c>
      <c r="F32" s="10" t="s">
        <v>16</v>
      </c>
      <c r="G32" s="38">
        <v>4.6500000000000004</v>
      </c>
      <c r="H32" s="62">
        <v>1</v>
      </c>
      <c r="I32" s="107">
        <v>0</v>
      </c>
      <c r="J32" s="103">
        <f>16.4*(G32*3.14)</f>
        <v>239.4564</v>
      </c>
      <c r="L32" s="78"/>
      <c r="M32" s="75"/>
      <c r="N32" s="78"/>
      <c r="O32" s="75"/>
    </row>
    <row r="33" spans="2:15" x14ac:dyDescent="0.25">
      <c r="B33" s="8"/>
      <c r="C33" s="95" t="s">
        <v>565</v>
      </c>
      <c r="D33" s="10" t="s">
        <v>15</v>
      </c>
      <c r="E33" s="37" t="s">
        <v>9</v>
      </c>
      <c r="F33" s="10" t="s">
        <v>16</v>
      </c>
      <c r="G33" s="39">
        <v>6.5</v>
      </c>
      <c r="H33" s="62">
        <v>1</v>
      </c>
      <c r="I33" s="107">
        <v>0</v>
      </c>
      <c r="J33" s="103">
        <f>16.4*(G33*3.14)</f>
        <v>334.72399999999999</v>
      </c>
      <c r="L33" s="78"/>
      <c r="M33" s="75"/>
      <c r="N33" s="78"/>
      <c r="O33" s="75"/>
    </row>
    <row r="34" spans="2:15" x14ac:dyDescent="0.25">
      <c r="B34" s="8"/>
      <c r="C34" s="95" t="s">
        <v>566</v>
      </c>
      <c r="D34" s="10" t="s">
        <v>15</v>
      </c>
      <c r="E34" s="37" t="s">
        <v>9</v>
      </c>
      <c r="F34" s="10" t="s">
        <v>16</v>
      </c>
      <c r="G34" s="38">
        <v>11.18</v>
      </c>
      <c r="H34" s="62">
        <v>1</v>
      </c>
      <c r="I34" s="107">
        <v>0</v>
      </c>
      <c r="J34" s="103">
        <f>16.4*(G34*3.14-1.22*2.26)</f>
        <v>530.50720000000001</v>
      </c>
      <c r="L34" s="78"/>
      <c r="M34" s="75"/>
      <c r="N34" s="78"/>
      <c r="O34" s="75"/>
    </row>
    <row r="35" spans="2:15" x14ac:dyDescent="0.25">
      <c r="B35" s="8"/>
      <c r="C35" s="95" t="s">
        <v>567</v>
      </c>
      <c r="D35" s="10" t="s">
        <v>15</v>
      </c>
      <c r="E35" s="37" t="s">
        <v>9</v>
      </c>
      <c r="F35" s="10" t="s">
        <v>16</v>
      </c>
      <c r="G35" s="38">
        <v>4.1500000000000004</v>
      </c>
      <c r="H35" s="62">
        <v>1</v>
      </c>
      <c r="I35" s="107">
        <v>0</v>
      </c>
      <c r="J35" s="103">
        <f>16.4*(G35*3.14-1.18*2.33-1.18*2.33)</f>
        <v>123.52808000000005</v>
      </c>
      <c r="L35" s="78"/>
      <c r="M35" s="75"/>
      <c r="N35" s="78"/>
      <c r="O35" s="75"/>
    </row>
    <row r="36" spans="2:15" x14ac:dyDescent="0.25">
      <c r="B36" s="8"/>
      <c r="C36" s="95" t="s">
        <v>568</v>
      </c>
      <c r="D36" s="10" t="s">
        <v>15</v>
      </c>
      <c r="E36" s="37" t="s">
        <v>9</v>
      </c>
      <c r="F36" s="10" t="s">
        <v>16</v>
      </c>
      <c r="G36" s="38">
        <v>2.2000000000000002</v>
      </c>
      <c r="H36" s="62">
        <v>1</v>
      </c>
      <c r="I36" s="107">
        <v>0</v>
      </c>
      <c r="J36" s="103">
        <f>16.4*(G36*3.14)</f>
        <v>113.29120000000002</v>
      </c>
      <c r="L36" s="78"/>
      <c r="M36" s="75"/>
      <c r="N36" s="78"/>
      <c r="O36" s="75"/>
    </row>
    <row r="37" spans="2:15" x14ac:dyDescent="0.25">
      <c r="B37" s="8"/>
      <c r="C37" s="95" t="s">
        <v>569</v>
      </c>
      <c r="D37" s="10" t="s">
        <v>15</v>
      </c>
      <c r="E37" s="37" t="s">
        <v>9</v>
      </c>
      <c r="F37" s="10" t="s">
        <v>16</v>
      </c>
      <c r="G37" s="38">
        <v>2.2000000000000002</v>
      </c>
      <c r="H37" s="62">
        <v>1</v>
      </c>
      <c r="I37" s="107">
        <v>0</v>
      </c>
      <c r="J37" s="103">
        <f>16.4*(G37*3.14)</f>
        <v>113.29120000000002</v>
      </c>
      <c r="L37" s="78"/>
      <c r="M37" s="75"/>
      <c r="N37" s="78"/>
      <c r="O37" s="75"/>
    </row>
    <row r="38" spans="2:15" x14ac:dyDescent="0.25">
      <c r="B38" s="8"/>
      <c r="C38" s="95" t="s">
        <v>570</v>
      </c>
      <c r="D38" s="10" t="s">
        <v>15</v>
      </c>
      <c r="E38" s="37" t="s">
        <v>9</v>
      </c>
      <c r="F38" s="10" t="s">
        <v>16</v>
      </c>
      <c r="G38" s="38">
        <v>9.24</v>
      </c>
      <c r="H38" s="62">
        <v>1</v>
      </c>
      <c r="I38" s="107">
        <v>0</v>
      </c>
      <c r="J38" s="103">
        <f>16.4*(G38*3.14-1.7*3.14)</f>
        <v>388.27983999999998</v>
      </c>
      <c r="L38" s="78"/>
      <c r="M38" s="75"/>
      <c r="N38" s="78"/>
      <c r="O38" s="75"/>
    </row>
    <row r="39" spans="2:15" x14ac:dyDescent="0.25">
      <c r="B39" s="8"/>
      <c r="C39" s="95" t="s">
        <v>571</v>
      </c>
      <c r="D39" s="10" t="s">
        <v>15</v>
      </c>
      <c r="E39" s="37" t="s">
        <v>9</v>
      </c>
      <c r="F39" s="10" t="s">
        <v>16</v>
      </c>
      <c r="G39" s="38">
        <v>6.5</v>
      </c>
      <c r="H39" s="62">
        <v>1</v>
      </c>
      <c r="I39" s="107">
        <v>0</v>
      </c>
      <c r="J39" s="103">
        <f>16.4*(G39*3.14-1*2.23)</f>
        <v>298.15199999999999</v>
      </c>
      <c r="L39" s="78"/>
      <c r="M39" s="75"/>
      <c r="N39" s="78"/>
      <c r="O39" s="75"/>
    </row>
    <row r="40" spans="2:15" x14ac:dyDescent="0.25">
      <c r="B40" s="8"/>
      <c r="C40" s="95" t="s">
        <v>572</v>
      </c>
      <c r="D40" s="10" t="s">
        <v>15</v>
      </c>
      <c r="E40" s="37" t="s">
        <v>9</v>
      </c>
      <c r="F40" s="10" t="s">
        <v>16</v>
      </c>
      <c r="G40" s="38">
        <v>6.5</v>
      </c>
      <c r="H40" s="62">
        <v>1</v>
      </c>
      <c r="I40" s="107">
        <v>0</v>
      </c>
      <c r="J40" s="103">
        <f>16.4*(G40*3.14-0.9*2.23*4)</f>
        <v>203.06479999999999</v>
      </c>
      <c r="L40" s="78"/>
      <c r="M40" s="75"/>
      <c r="N40" s="78"/>
      <c r="O40" s="75"/>
    </row>
    <row r="41" spans="2:15" x14ac:dyDescent="0.25">
      <c r="B41" s="8"/>
      <c r="C41" s="127"/>
      <c r="D41" s="128"/>
      <c r="E41" s="128"/>
      <c r="F41" s="128"/>
      <c r="G41" s="128"/>
      <c r="H41" s="128"/>
      <c r="I41" s="70"/>
      <c r="J41" s="87"/>
      <c r="L41" s="78"/>
      <c r="M41" s="75"/>
      <c r="N41" s="78"/>
      <c r="O41" s="75"/>
    </row>
    <row r="42" spans="2:15" x14ac:dyDescent="0.25">
      <c r="B42" s="8"/>
      <c r="C42" s="9" t="s">
        <v>573</v>
      </c>
      <c r="D42" s="10" t="s">
        <v>17</v>
      </c>
      <c r="E42" s="37" t="s">
        <v>9</v>
      </c>
      <c r="F42" s="10" t="s">
        <v>60</v>
      </c>
      <c r="G42" s="40" t="s">
        <v>8</v>
      </c>
      <c r="H42" s="62">
        <v>1</v>
      </c>
      <c r="I42" s="70">
        <v>0</v>
      </c>
      <c r="J42" s="71">
        <f>1.15*(6328+177+116+61+59+4339+13+54+63+30+183+50+43+161+36+41+391+61+118+278+148+52+19+70+11+277+28+296+14+15+28+324)</f>
        <v>15966.599999999999</v>
      </c>
      <c r="L42" s="78"/>
      <c r="M42" s="75"/>
      <c r="N42" s="78"/>
      <c r="O42" s="75"/>
    </row>
    <row r="43" spans="2:15" x14ac:dyDescent="0.25">
      <c r="B43" s="8"/>
      <c r="C43" s="127"/>
      <c r="D43" s="128"/>
      <c r="E43" s="128"/>
      <c r="F43" s="128"/>
      <c r="G43" s="128"/>
      <c r="H43" s="128"/>
      <c r="I43" s="70"/>
      <c r="J43" s="71"/>
      <c r="L43" s="78"/>
      <c r="M43" s="75"/>
      <c r="N43" s="78"/>
      <c r="O43" s="75"/>
    </row>
    <row r="44" spans="2:15" x14ac:dyDescent="0.25">
      <c r="B44" s="8"/>
      <c r="C44" s="9" t="s">
        <v>574</v>
      </c>
      <c r="D44" s="10" t="s">
        <v>193</v>
      </c>
      <c r="E44" s="37" t="s">
        <v>9</v>
      </c>
      <c r="F44" s="10" t="s">
        <v>194</v>
      </c>
      <c r="G44" s="40" t="s">
        <v>8</v>
      </c>
      <c r="H44" s="62">
        <v>1</v>
      </c>
      <c r="I44" s="70">
        <v>0</v>
      </c>
      <c r="J44" s="71">
        <f>1.15*(98+282)</f>
        <v>436.99999999999994</v>
      </c>
      <c r="L44" s="78"/>
      <c r="M44" s="75"/>
      <c r="N44" s="78"/>
      <c r="O44" s="75"/>
    </row>
    <row r="45" spans="2:15" x14ac:dyDescent="0.25">
      <c r="B45" s="8"/>
      <c r="C45" s="9" t="s">
        <v>575</v>
      </c>
      <c r="D45" s="10" t="s">
        <v>193</v>
      </c>
      <c r="E45" s="37" t="s">
        <v>9</v>
      </c>
      <c r="F45" s="10" t="s">
        <v>194</v>
      </c>
      <c r="G45" s="40" t="s">
        <v>8</v>
      </c>
      <c r="H45" s="62">
        <v>1</v>
      </c>
      <c r="I45" s="70">
        <v>0</v>
      </c>
      <c r="J45" s="71">
        <f>1.15*(115+332)</f>
        <v>514.04999999999995</v>
      </c>
      <c r="L45" s="78"/>
      <c r="M45" s="75"/>
      <c r="N45" s="78"/>
      <c r="O45" s="75"/>
    </row>
    <row r="46" spans="2:15" x14ac:dyDescent="0.25">
      <c r="B46" s="8"/>
      <c r="C46" s="9" t="s">
        <v>576</v>
      </c>
      <c r="D46" s="10" t="s">
        <v>193</v>
      </c>
      <c r="E46" s="37" t="s">
        <v>9</v>
      </c>
      <c r="F46" s="10" t="s">
        <v>194</v>
      </c>
      <c r="G46" s="40" t="s">
        <v>8</v>
      </c>
      <c r="H46" s="62">
        <v>1</v>
      </c>
      <c r="I46" s="70">
        <v>0</v>
      </c>
      <c r="J46" s="71">
        <f>1.15*(84+151)</f>
        <v>270.25</v>
      </c>
      <c r="L46" s="78"/>
      <c r="M46" s="75"/>
      <c r="N46" s="78"/>
      <c r="O46" s="75"/>
    </row>
    <row r="47" spans="2:15" x14ac:dyDescent="0.25">
      <c r="B47" s="8"/>
      <c r="C47" s="9" t="s">
        <v>577</v>
      </c>
      <c r="D47" s="10" t="s">
        <v>193</v>
      </c>
      <c r="E47" s="37" t="s">
        <v>9</v>
      </c>
      <c r="F47" s="10" t="s">
        <v>194</v>
      </c>
      <c r="G47" s="40" t="s">
        <v>8</v>
      </c>
      <c r="H47" s="62">
        <v>1</v>
      </c>
      <c r="I47" s="70">
        <v>0</v>
      </c>
      <c r="J47" s="71">
        <f>1.15*(75+136)</f>
        <v>242.64999999999998</v>
      </c>
      <c r="L47" s="78"/>
      <c r="M47" s="75"/>
      <c r="N47" s="78"/>
      <c r="O47" s="75"/>
    </row>
    <row r="48" spans="2:15" x14ac:dyDescent="0.25">
      <c r="B48" s="8"/>
      <c r="C48" s="9" t="s">
        <v>578</v>
      </c>
      <c r="D48" s="10" t="s">
        <v>193</v>
      </c>
      <c r="E48" s="37" t="s">
        <v>9</v>
      </c>
      <c r="F48" s="10" t="s">
        <v>194</v>
      </c>
      <c r="G48" s="40" t="s">
        <v>8</v>
      </c>
      <c r="H48" s="62">
        <v>1</v>
      </c>
      <c r="I48" s="70">
        <v>0</v>
      </c>
      <c r="J48" s="71">
        <f>1.15*(83+240)</f>
        <v>371.45</v>
      </c>
      <c r="L48" s="78"/>
      <c r="M48" s="75"/>
      <c r="N48" s="78"/>
      <c r="O48" s="75"/>
    </row>
    <row r="49" spans="2:23" x14ac:dyDescent="0.25">
      <c r="B49" s="8"/>
      <c r="C49" s="9" t="s">
        <v>579</v>
      </c>
      <c r="D49" s="10" t="s">
        <v>193</v>
      </c>
      <c r="E49" s="37" t="s">
        <v>9</v>
      </c>
      <c r="F49" s="10" t="s">
        <v>194</v>
      </c>
      <c r="G49" s="40" t="s">
        <v>8</v>
      </c>
      <c r="H49" s="62">
        <v>1</v>
      </c>
      <c r="I49" s="70">
        <v>0</v>
      </c>
      <c r="J49" s="71">
        <f>1.15*(84+151)</f>
        <v>270.25</v>
      </c>
      <c r="L49" s="78"/>
      <c r="M49" s="75"/>
      <c r="N49" s="78"/>
      <c r="O49" s="75"/>
    </row>
    <row r="50" spans="2:23" x14ac:dyDescent="0.25">
      <c r="B50" s="8"/>
      <c r="C50" s="9" t="s">
        <v>580</v>
      </c>
      <c r="D50" s="10" t="s">
        <v>193</v>
      </c>
      <c r="E50" s="37" t="s">
        <v>9</v>
      </c>
      <c r="F50" s="10" t="s">
        <v>194</v>
      </c>
      <c r="G50" s="40" t="s">
        <v>8</v>
      </c>
      <c r="H50" s="62">
        <v>1</v>
      </c>
      <c r="I50" s="70">
        <v>0</v>
      </c>
      <c r="J50" s="71">
        <f>1.15*(84+242)</f>
        <v>374.9</v>
      </c>
      <c r="L50" s="78"/>
      <c r="M50" s="75"/>
      <c r="N50" s="78"/>
      <c r="O50" s="75"/>
    </row>
    <row r="51" spans="2:23" x14ac:dyDescent="0.25">
      <c r="B51" s="8"/>
      <c r="C51" s="127"/>
      <c r="D51" s="128"/>
      <c r="E51" s="128"/>
      <c r="F51" s="128"/>
      <c r="G51" s="128"/>
      <c r="H51" s="128"/>
      <c r="I51" s="70"/>
      <c r="J51" s="87"/>
      <c r="L51" s="78"/>
      <c r="M51" s="75"/>
      <c r="N51" s="78"/>
      <c r="O51" s="75"/>
    </row>
    <row r="52" spans="2:23" ht="30" x14ac:dyDescent="0.25">
      <c r="B52" s="8"/>
      <c r="C52" s="41" t="s">
        <v>581</v>
      </c>
      <c r="D52" s="10" t="s">
        <v>56</v>
      </c>
      <c r="E52" s="37" t="s">
        <v>9</v>
      </c>
      <c r="F52" s="97" t="s">
        <v>350</v>
      </c>
      <c r="G52" s="40" t="s">
        <v>8</v>
      </c>
      <c r="H52" s="117">
        <v>1</v>
      </c>
      <c r="I52" s="70">
        <f>7860*(O3*(1.32-2*0.025)*(M52+Q52))*1.5+7860*(O3*(0.78-2*0.025)*U52)*2</f>
        <v>16.594381856396716</v>
      </c>
      <c r="J52" s="71">
        <f>1.15*(7860*(Q3*(3.33+3.26)*O52))*1.5+1.15*(7860*(R3*2.64*W52))*2</f>
        <v>125.23439446986916</v>
      </c>
      <c r="L52" s="85">
        <f>3.33/0.25</f>
        <v>13.32</v>
      </c>
      <c r="M52" s="86">
        <v>15</v>
      </c>
      <c r="N52" s="85">
        <f>(1.32-2*0.025)/0.1</f>
        <v>12.7</v>
      </c>
      <c r="O52" s="86">
        <v>14</v>
      </c>
      <c r="P52" s="6">
        <f>3.26/0.25</f>
        <v>13.04</v>
      </c>
      <c r="Q52" s="6">
        <v>15</v>
      </c>
      <c r="T52" s="6">
        <f>(2.64-2*0.025)/0.25</f>
        <v>10.360000000000001</v>
      </c>
      <c r="U52" s="6">
        <v>12</v>
      </c>
      <c r="V52">
        <f>(0.78-2*0.025)/0.2</f>
        <v>3.65</v>
      </c>
      <c r="W52">
        <v>5</v>
      </c>
    </row>
    <row r="53" spans="2:23" x14ac:dyDescent="0.25">
      <c r="B53" s="8"/>
      <c r="C53" s="9" t="s">
        <v>582</v>
      </c>
      <c r="D53" s="10" t="s">
        <v>63</v>
      </c>
      <c r="E53" s="37" t="s">
        <v>9</v>
      </c>
      <c r="F53" s="10" t="s">
        <v>190</v>
      </c>
      <c r="G53" s="38">
        <v>3.14</v>
      </c>
      <c r="H53" s="111">
        <v>1</v>
      </c>
      <c r="I53" s="70">
        <f>7860*O3*(2*(0.24+0.38)+2*0.1-8*0.025)*M53</f>
        <v>5.2358863872600327</v>
      </c>
      <c r="J53" s="71">
        <f>1.15*(7860*(T3*G53*O53))+1.15*(7860*(R3*G53*Q53))</f>
        <v>17.833225565361232</v>
      </c>
      <c r="L53" s="85">
        <f>(G53-2*0.25)/0.15</f>
        <v>17.600000000000001</v>
      </c>
      <c r="M53" s="86">
        <v>19</v>
      </c>
      <c r="N53" s="85"/>
      <c r="O53" s="86">
        <f>2</f>
        <v>2</v>
      </c>
      <c r="P53" s="6"/>
      <c r="Q53" s="6">
        <f>2</f>
        <v>2</v>
      </c>
    </row>
    <row r="54" spans="2:23" x14ac:dyDescent="0.25">
      <c r="B54" s="8"/>
      <c r="C54" s="9" t="s">
        <v>583</v>
      </c>
      <c r="D54" s="10" t="s">
        <v>63</v>
      </c>
      <c r="E54" s="37" t="s">
        <v>9</v>
      </c>
      <c r="F54" s="10" t="s">
        <v>191</v>
      </c>
      <c r="G54" s="101">
        <v>2.64</v>
      </c>
      <c r="H54" s="111">
        <v>1</v>
      </c>
      <c r="I54" s="70">
        <f>7860*O3*(2*(0.54+0.2)+2*0.1-6*0.025)*M54*2</f>
        <v>12.920816407270724</v>
      </c>
      <c r="J54" s="71">
        <f>1.15*(7860*(R3*G54*O54))</f>
        <v>29.687209132247208</v>
      </c>
      <c r="L54" s="85">
        <f>(G54)/0.15</f>
        <v>17.600000000000001</v>
      </c>
      <c r="M54" s="86">
        <v>19</v>
      </c>
      <c r="N54" s="85"/>
      <c r="O54" s="86">
        <f>4+7</f>
        <v>11</v>
      </c>
    </row>
    <row r="55" spans="2:23" x14ac:dyDescent="0.25">
      <c r="B55" s="8"/>
      <c r="C55" s="155"/>
      <c r="D55" s="156"/>
      <c r="E55" s="156"/>
      <c r="F55" s="156"/>
      <c r="G55" s="156"/>
      <c r="H55" s="156"/>
      <c r="I55" s="70"/>
      <c r="J55" s="71"/>
      <c r="L55" s="85"/>
      <c r="M55" s="86"/>
      <c r="N55" s="85"/>
      <c r="O55" s="86"/>
    </row>
    <row r="56" spans="2:23" ht="45.75" thickBot="1" x14ac:dyDescent="0.3">
      <c r="B56" s="8"/>
      <c r="C56" s="51" t="s">
        <v>584</v>
      </c>
      <c r="D56" s="42" t="s">
        <v>444</v>
      </c>
      <c r="E56" s="43" t="s">
        <v>445</v>
      </c>
      <c r="F56" s="43" t="s">
        <v>456</v>
      </c>
      <c r="G56" s="44">
        <v>3.65</v>
      </c>
      <c r="H56" s="118">
        <v>1</v>
      </c>
      <c r="I56" s="72"/>
      <c r="J56" s="73"/>
      <c r="L56" s="90"/>
      <c r="M56" s="91"/>
      <c r="N56" s="90"/>
      <c r="O56" s="91"/>
    </row>
    <row r="57" spans="2:23" ht="15.75" thickBot="1" x14ac:dyDescent="0.3">
      <c r="B57" s="8"/>
      <c r="C57" s="126" t="s">
        <v>648</v>
      </c>
      <c r="D57" s="126"/>
      <c r="E57" s="126"/>
      <c r="F57" s="126"/>
      <c r="G57" s="126"/>
      <c r="H57" s="126"/>
      <c r="I57" s="119">
        <f>SUM(I7:I56)</f>
        <v>765.46392171845673</v>
      </c>
      <c r="J57" s="120">
        <f>SUM(J7:J56)</f>
        <v>24492.883961558018</v>
      </c>
      <c r="L57" s="5"/>
    </row>
  </sheetData>
  <mergeCells count="13">
    <mergeCell ref="I4:J4"/>
    <mergeCell ref="C57:H57"/>
    <mergeCell ref="C29:H29"/>
    <mergeCell ref="C41:H41"/>
    <mergeCell ref="C43:H43"/>
    <mergeCell ref="C51:H51"/>
    <mergeCell ref="C55:H55"/>
    <mergeCell ref="C25:H25"/>
    <mergeCell ref="C4:H4"/>
    <mergeCell ref="C6:H6"/>
    <mergeCell ref="C8:H8"/>
    <mergeCell ref="C12:H12"/>
    <mergeCell ref="C14:H14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02CED-3E90-4C84-9D74-49C9F827CE93}">
  <dimension ref="B1:W57"/>
  <sheetViews>
    <sheetView topLeftCell="A38" workbookViewId="0">
      <selection activeCell="J57" sqref="J57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28515625" customWidth="1"/>
  </cols>
  <sheetData>
    <row r="1" spans="2:22" x14ac:dyDescent="0.25">
      <c r="B1" s="8"/>
      <c r="C1" s="32"/>
      <c r="D1" s="33"/>
      <c r="E1" s="34"/>
      <c r="F1" s="33"/>
      <c r="G1" s="35"/>
      <c r="H1" s="32"/>
    </row>
    <row r="2" spans="2:22" x14ac:dyDescent="0.25">
      <c r="B2" s="8"/>
      <c r="C2" s="32"/>
      <c r="D2" s="33"/>
      <c r="E2" s="34"/>
      <c r="F2" s="33"/>
      <c r="G2" s="35"/>
      <c r="H2" s="32"/>
      <c r="O2" s="67" t="str">
        <f>F!O2</f>
        <v>6 [m2]</v>
      </c>
      <c r="P2" s="67" t="str">
        <f>F!P2</f>
        <v>8 [m2]</v>
      </c>
      <c r="Q2" s="67" t="str">
        <f>F!Q2</f>
        <v>10 [m2]</v>
      </c>
      <c r="R2" s="67" t="str">
        <f>F!R2</f>
        <v>12 [m2]</v>
      </c>
      <c r="S2" s="67" t="str">
        <f>F!S2</f>
        <v>14 [m2]</v>
      </c>
      <c r="T2" s="67" t="str">
        <f>F!T2</f>
        <v>16 [m2]</v>
      </c>
      <c r="U2" s="67" t="str">
        <f>F!U2</f>
        <v>20 [m2]</v>
      </c>
      <c r="V2" s="67" t="str">
        <f>F!V2</f>
        <v>24 [m2]</v>
      </c>
    </row>
    <row r="3" spans="2:22" ht="15.75" thickBot="1" x14ac:dyDescent="0.3">
      <c r="B3" s="8"/>
      <c r="C3" s="32"/>
      <c r="D3" s="33"/>
      <c r="E3" s="34"/>
      <c r="F3" s="33"/>
      <c r="G3" s="35"/>
      <c r="H3" s="32"/>
      <c r="O3" s="67">
        <f>F!O3</f>
        <v>2.8274333882308137E-5</v>
      </c>
      <c r="P3" s="67">
        <f>F!P3</f>
        <v>5.0265482457436686E-5</v>
      </c>
      <c r="Q3" s="67">
        <f>F!Q3</f>
        <v>7.8539816339744827E-5</v>
      </c>
      <c r="R3" s="67">
        <f>F!R3</f>
        <v>1.1309733552923255E-4</v>
      </c>
      <c r="S3" s="67">
        <f>F!S3</f>
        <v>1.5393804002589989E-4</v>
      </c>
      <c r="T3" s="67">
        <f>F!T3</f>
        <v>2.0106192982974675E-4</v>
      </c>
      <c r="U3" s="67">
        <f>F!U3</f>
        <v>3.1415926535897931E-4</v>
      </c>
      <c r="V3" s="67">
        <f>F!V3</f>
        <v>4.523893421169302E-4</v>
      </c>
    </row>
    <row r="4" spans="2:22" ht="15.75" thickBot="1" x14ac:dyDescent="0.3">
      <c r="B4" s="8"/>
      <c r="C4" s="161" t="s">
        <v>3</v>
      </c>
      <c r="D4" s="162"/>
      <c r="E4" s="162"/>
      <c r="F4" s="162"/>
      <c r="G4" s="162"/>
      <c r="H4" s="163"/>
      <c r="I4" s="124" t="s">
        <v>647</v>
      </c>
      <c r="J4" s="125"/>
      <c r="L4" s="2" t="s">
        <v>458</v>
      </c>
    </row>
    <row r="5" spans="2:22" ht="26.25" thickBot="1" x14ac:dyDescent="0.3">
      <c r="B5" s="8"/>
      <c r="C5" s="53" t="s">
        <v>2</v>
      </c>
      <c r="D5" s="52" t="s">
        <v>0</v>
      </c>
      <c r="E5" s="52" t="s">
        <v>4</v>
      </c>
      <c r="F5" s="52" t="s">
        <v>5</v>
      </c>
      <c r="G5" s="52" t="s">
        <v>1</v>
      </c>
      <c r="H5" s="54" t="s">
        <v>6</v>
      </c>
      <c r="I5" s="98" t="s">
        <v>649</v>
      </c>
      <c r="J5" s="99" t="s">
        <v>650</v>
      </c>
      <c r="L5" s="2"/>
    </row>
    <row r="6" spans="2:22" x14ac:dyDescent="0.25">
      <c r="B6" s="8"/>
      <c r="C6" s="145"/>
      <c r="D6" s="146"/>
      <c r="E6" s="146"/>
      <c r="F6" s="146"/>
      <c r="G6" s="146"/>
      <c r="H6" s="147"/>
      <c r="I6" s="68"/>
      <c r="J6" s="69"/>
    </row>
    <row r="7" spans="2:22" ht="30" x14ac:dyDescent="0.25">
      <c r="B7" s="8"/>
      <c r="C7" s="14" t="s">
        <v>460</v>
      </c>
      <c r="D7" s="37" t="s">
        <v>165</v>
      </c>
      <c r="E7" s="11" t="s">
        <v>8</v>
      </c>
      <c r="F7" s="10" t="s">
        <v>269</v>
      </c>
      <c r="G7" s="38">
        <v>1.4</v>
      </c>
      <c r="H7" s="110">
        <v>5</v>
      </c>
      <c r="I7" s="70"/>
      <c r="J7" s="71"/>
      <c r="L7" s="83"/>
      <c r="M7" s="84"/>
      <c r="N7" s="83"/>
      <c r="O7" s="84"/>
    </row>
    <row r="8" spans="2:22" x14ac:dyDescent="0.25">
      <c r="B8" s="8"/>
      <c r="C8" s="142"/>
      <c r="D8" s="143"/>
      <c r="E8" s="143"/>
      <c r="F8" s="143"/>
      <c r="G8" s="143"/>
      <c r="H8" s="144"/>
      <c r="I8" s="70"/>
      <c r="J8" s="71"/>
      <c r="L8" s="78"/>
      <c r="M8" s="75"/>
      <c r="N8" s="78"/>
      <c r="O8" s="75"/>
    </row>
    <row r="9" spans="2:22" x14ac:dyDescent="0.25">
      <c r="B9" s="8"/>
      <c r="C9" s="14" t="s">
        <v>461</v>
      </c>
      <c r="D9" s="37" t="s">
        <v>266</v>
      </c>
      <c r="E9" s="37" t="s">
        <v>9</v>
      </c>
      <c r="F9" s="10" t="s">
        <v>64</v>
      </c>
      <c r="G9" s="38">
        <v>2.2000000000000002</v>
      </c>
      <c r="H9" s="110">
        <v>1</v>
      </c>
      <c r="I9" s="70">
        <f>7860*O3*(2*(0.25+0.3)+2*0.1-8*0.025)*M9*H9</f>
        <v>2.4445989074643619</v>
      </c>
      <c r="J9" s="71">
        <f>1.15*(7860*(R3*G9*O9))*H9</f>
        <v>8.9961239794688499</v>
      </c>
      <c r="L9" s="85">
        <f>(G9-0.5)/0.2</f>
        <v>8.5</v>
      </c>
      <c r="M9" s="86">
        <v>10</v>
      </c>
      <c r="N9" s="85"/>
      <c r="O9" s="86">
        <f>2+2</f>
        <v>4</v>
      </c>
    </row>
    <row r="10" spans="2:22" x14ac:dyDescent="0.25">
      <c r="B10" s="8"/>
      <c r="C10" s="14" t="s">
        <v>464</v>
      </c>
      <c r="D10" s="37" t="s">
        <v>266</v>
      </c>
      <c r="E10" s="37" t="s">
        <v>9</v>
      </c>
      <c r="F10" s="10" t="s">
        <v>264</v>
      </c>
      <c r="G10" s="38">
        <v>1.5</v>
      </c>
      <c r="H10" s="110">
        <v>1</v>
      </c>
      <c r="I10" s="70">
        <f>7860*O3*(2*(0.24+0.24)+2*0.1-8*0.025)*M10*H10</f>
        <v>1.7067745099387541</v>
      </c>
      <c r="J10" s="71">
        <f>1.15*(7860*(R3*G10*O10))*H10</f>
        <v>6.1337208950923978</v>
      </c>
      <c r="L10" s="85">
        <f>(G10-0.5)/0.15</f>
        <v>6.666666666666667</v>
      </c>
      <c r="M10" s="86">
        <v>8</v>
      </c>
      <c r="N10" s="85"/>
      <c r="O10" s="86">
        <f t="shared" ref="O10:O11" si="0">2+2</f>
        <v>4</v>
      </c>
    </row>
    <row r="11" spans="2:22" x14ac:dyDescent="0.25">
      <c r="B11" s="8"/>
      <c r="C11" s="9" t="s">
        <v>465</v>
      </c>
      <c r="D11" s="37" t="s">
        <v>266</v>
      </c>
      <c r="E11" s="37" t="s">
        <v>9</v>
      </c>
      <c r="F11" s="10" t="s">
        <v>264</v>
      </c>
      <c r="G11" s="38">
        <v>1.75</v>
      </c>
      <c r="H11" s="110">
        <v>1</v>
      </c>
      <c r="I11" s="70">
        <f>7860*O3*(2*(0.24+0.24)+2*0.1-8*0.025)*M11*H11</f>
        <v>2.1334681374234425</v>
      </c>
      <c r="J11" s="71">
        <f>1.15*(7860*(R3*G11*O11))*H11</f>
        <v>7.1560077109411298</v>
      </c>
      <c r="L11" s="85">
        <f>(G11-0.5)/0.15</f>
        <v>8.3333333333333339</v>
      </c>
      <c r="M11" s="86">
        <v>10</v>
      </c>
      <c r="N11" s="85"/>
      <c r="O11" s="86">
        <f t="shared" si="0"/>
        <v>4</v>
      </c>
    </row>
    <row r="12" spans="2:22" x14ac:dyDescent="0.25">
      <c r="B12" s="8"/>
      <c r="C12" s="142"/>
      <c r="D12" s="143"/>
      <c r="E12" s="143"/>
      <c r="F12" s="143"/>
      <c r="G12" s="143"/>
      <c r="H12" s="144"/>
      <c r="I12" s="70"/>
      <c r="J12" s="71"/>
      <c r="L12" s="85"/>
      <c r="M12" s="86"/>
      <c r="N12" s="85"/>
      <c r="O12" s="86"/>
    </row>
    <row r="13" spans="2:22" x14ac:dyDescent="0.25">
      <c r="B13" s="8"/>
      <c r="C13" s="9" t="s">
        <v>466</v>
      </c>
      <c r="D13" s="10" t="s">
        <v>7</v>
      </c>
      <c r="E13" s="37" t="s">
        <v>9</v>
      </c>
      <c r="F13" s="10" t="s">
        <v>270</v>
      </c>
      <c r="G13" s="20">
        <v>2.2000000000000002</v>
      </c>
      <c r="H13" s="62">
        <v>1</v>
      </c>
      <c r="I13" s="93">
        <f>7860*O3*(2*(0.16+0.35)+2*0.1-6*0.025)*M13*2</f>
        <v>6.1826128732416841</v>
      </c>
      <c r="J13" s="87">
        <f>1.15*(7860*(T3*G13*O13))</f>
        <v>31.986218593667022</v>
      </c>
      <c r="L13" s="78">
        <f>(G13-2*0.25)/0.15</f>
        <v>11.333333333333336</v>
      </c>
      <c r="M13" s="75">
        <v>13</v>
      </c>
      <c r="N13" s="78"/>
      <c r="O13" s="75">
        <f>4+4</f>
        <v>8</v>
      </c>
    </row>
    <row r="14" spans="2:22" x14ac:dyDescent="0.25">
      <c r="B14" s="8"/>
      <c r="C14" s="142"/>
      <c r="D14" s="143"/>
      <c r="E14" s="143"/>
      <c r="F14" s="143"/>
      <c r="G14" s="143"/>
      <c r="H14" s="144"/>
      <c r="I14" s="70"/>
      <c r="J14" s="71"/>
      <c r="L14" s="85"/>
      <c r="M14" s="86"/>
      <c r="N14" s="85"/>
      <c r="O14" s="86"/>
    </row>
    <row r="15" spans="2:22" x14ac:dyDescent="0.25">
      <c r="B15" s="8"/>
      <c r="C15" s="9" t="s">
        <v>467</v>
      </c>
      <c r="D15" s="10" t="s">
        <v>52</v>
      </c>
      <c r="E15" s="37" t="s">
        <v>9</v>
      </c>
      <c r="F15" s="10" t="s">
        <v>155</v>
      </c>
      <c r="G15" s="21">
        <v>6.5</v>
      </c>
      <c r="H15" s="62">
        <v>1</v>
      </c>
      <c r="I15" s="70">
        <f>'2'!I15</f>
        <v>24.605999184950374</v>
      </c>
      <c r="J15" s="71">
        <f>'2'!J15</f>
        <v>105.4091294564027</v>
      </c>
      <c r="L15" s="85"/>
      <c r="M15" s="86"/>
      <c r="N15" s="85"/>
      <c r="O15" s="86"/>
    </row>
    <row r="16" spans="2:22" x14ac:dyDescent="0.25">
      <c r="B16" s="8"/>
      <c r="C16" s="9" t="s">
        <v>468</v>
      </c>
      <c r="D16" s="10" t="s">
        <v>52</v>
      </c>
      <c r="E16" s="37" t="s">
        <v>9</v>
      </c>
      <c r="F16" s="10" t="s">
        <v>155</v>
      </c>
      <c r="G16" s="21">
        <v>9.4499999999999993</v>
      </c>
      <c r="H16" s="62">
        <v>1</v>
      </c>
      <c r="I16" s="70">
        <f>'2'!I16</f>
        <v>32.295373930247365</v>
      </c>
      <c r="J16" s="71">
        <f>'2'!J16</f>
        <v>137.39534805006969</v>
      </c>
      <c r="L16" s="85"/>
      <c r="M16" s="86"/>
      <c r="N16" s="85"/>
      <c r="O16" s="86"/>
    </row>
    <row r="17" spans="2:15" x14ac:dyDescent="0.25">
      <c r="B17" s="8"/>
      <c r="C17" s="9" t="s">
        <v>469</v>
      </c>
      <c r="D17" s="10" t="s">
        <v>52</v>
      </c>
      <c r="E17" s="37" t="s">
        <v>9</v>
      </c>
      <c r="F17" s="10" t="s">
        <v>155</v>
      </c>
      <c r="G17" s="21">
        <v>11.9</v>
      </c>
      <c r="H17" s="62">
        <v>1</v>
      </c>
      <c r="I17" s="70">
        <f>'2'!I17</f>
        <v>44.598373522722554</v>
      </c>
      <c r="J17" s="71">
        <f>'2'!J17</f>
        <v>187.21479220909796</v>
      </c>
      <c r="L17" s="78"/>
      <c r="M17" s="75"/>
      <c r="N17" s="78"/>
      <c r="O17" s="75"/>
    </row>
    <row r="18" spans="2:15" x14ac:dyDescent="0.25">
      <c r="B18" s="8"/>
      <c r="C18" s="9" t="s">
        <v>470</v>
      </c>
      <c r="D18" s="10" t="s">
        <v>52</v>
      </c>
      <c r="E18" s="37" t="s">
        <v>9</v>
      </c>
      <c r="F18" s="10" t="s">
        <v>155</v>
      </c>
      <c r="G18" s="21">
        <v>22.1</v>
      </c>
      <c r="H18" s="62">
        <v>1</v>
      </c>
      <c r="I18" s="70">
        <f>'2'!I18</f>
        <v>76.124809978440226</v>
      </c>
      <c r="J18" s="71">
        <f>'2'!J18</f>
        <v>294.41860296443514</v>
      </c>
      <c r="L18" s="78"/>
      <c r="M18" s="75"/>
      <c r="N18" s="78"/>
      <c r="O18" s="75"/>
    </row>
    <row r="19" spans="2:15" x14ac:dyDescent="0.25">
      <c r="B19" s="8"/>
      <c r="C19" s="9" t="s">
        <v>471</v>
      </c>
      <c r="D19" s="10" t="s">
        <v>52</v>
      </c>
      <c r="E19" s="37" t="s">
        <v>9</v>
      </c>
      <c r="F19" s="10" t="s">
        <v>155</v>
      </c>
      <c r="G19" s="21">
        <v>18.149999999999999</v>
      </c>
      <c r="H19" s="62">
        <v>1</v>
      </c>
      <c r="I19" s="70">
        <f>'2'!I19</f>
        <v>67.666497758613531</v>
      </c>
      <c r="J19" s="71">
        <f>'2'!J19</f>
        <v>311.25225919874418</v>
      </c>
      <c r="L19" s="78"/>
      <c r="M19" s="75"/>
      <c r="N19" s="78"/>
      <c r="O19" s="75"/>
    </row>
    <row r="20" spans="2:15" x14ac:dyDescent="0.25">
      <c r="B20" s="8"/>
      <c r="C20" s="9" t="s">
        <v>472</v>
      </c>
      <c r="D20" s="10" t="s">
        <v>52</v>
      </c>
      <c r="E20" s="37" t="s">
        <v>9</v>
      </c>
      <c r="F20" s="10" t="s">
        <v>155</v>
      </c>
      <c r="G20" s="21">
        <v>11.18</v>
      </c>
      <c r="H20" s="62">
        <v>1</v>
      </c>
      <c r="I20" s="70">
        <f>'2'!I20</f>
        <v>38.446873726484959</v>
      </c>
      <c r="J20" s="71">
        <f>'2'!J20</f>
        <v>169.81774235183218</v>
      </c>
      <c r="L20" s="78"/>
      <c r="M20" s="75"/>
      <c r="N20" s="78"/>
      <c r="O20" s="75"/>
    </row>
    <row r="21" spans="2:15" x14ac:dyDescent="0.25">
      <c r="B21" s="8"/>
      <c r="C21" s="9" t="s">
        <v>473</v>
      </c>
      <c r="D21" s="10" t="s">
        <v>52</v>
      </c>
      <c r="E21" s="37" t="s">
        <v>9</v>
      </c>
      <c r="F21" s="10" t="s">
        <v>155</v>
      </c>
      <c r="G21" s="21">
        <v>11.85</v>
      </c>
      <c r="H21" s="62">
        <v>1</v>
      </c>
      <c r="I21" s="70">
        <f>'2'!I21</f>
        <v>44.598373522722554</v>
      </c>
      <c r="J21" s="71">
        <f>'2'!J21</f>
        <v>181.37639861636185</v>
      </c>
      <c r="L21" s="78"/>
      <c r="M21" s="75"/>
      <c r="N21" s="78"/>
      <c r="O21" s="75"/>
    </row>
    <row r="22" spans="2:15" x14ac:dyDescent="0.25">
      <c r="B22" s="8"/>
      <c r="C22" s="9" t="s">
        <v>474</v>
      </c>
      <c r="D22" s="10" t="s">
        <v>52</v>
      </c>
      <c r="E22" s="37" t="s">
        <v>9</v>
      </c>
      <c r="F22" s="10" t="s">
        <v>155</v>
      </c>
      <c r="G22" s="21">
        <v>15.8</v>
      </c>
      <c r="H22" s="62">
        <v>1</v>
      </c>
      <c r="I22" s="70">
        <f>'2'!I22</f>
        <v>53.825623217078942</v>
      </c>
      <c r="J22" s="71">
        <f>'2'!J22</f>
        <v>238.80620018226404</v>
      </c>
      <c r="L22" s="85"/>
      <c r="M22" s="86"/>
      <c r="N22" s="85"/>
      <c r="O22" s="86"/>
    </row>
    <row r="23" spans="2:15" x14ac:dyDescent="0.25">
      <c r="B23" s="8"/>
      <c r="C23" s="9" t="s">
        <v>475</v>
      </c>
      <c r="D23" s="10" t="s">
        <v>52</v>
      </c>
      <c r="E23" s="37" t="s">
        <v>9</v>
      </c>
      <c r="F23" s="10" t="s">
        <v>155</v>
      </c>
      <c r="G23" s="21">
        <v>6.2</v>
      </c>
      <c r="H23" s="62">
        <v>1</v>
      </c>
      <c r="I23" s="70">
        <f>'2'!I23</f>
        <v>23.068124235890977</v>
      </c>
      <c r="J23" s="71">
        <f>'2'!J23</f>
        <v>101.04737237544809</v>
      </c>
      <c r="L23" s="85"/>
      <c r="M23" s="86"/>
      <c r="N23" s="85"/>
      <c r="O23" s="86"/>
    </row>
    <row r="24" spans="2:15" x14ac:dyDescent="0.25">
      <c r="B24" s="8"/>
      <c r="C24" s="9" t="s">
        <v>476</v>
      </c>
      <c r="D24" s="10" t="s">
        <v>52</v>
      </c>
      <c r="E24" s="37" t="s">
        <v>9</v>
      </c>
      <c r="F24" s="10" t="s">
        <v>155</v>
      </c>
      <c r="G24" s="21">
        <v>6.2</v>
      </c>
      <c r="H24" s="62">
        <v>1</v>
      </c>
      <c r="I24" s="70">
        <f>'2'!I24</f>
        <v>23.068124235890977</v>
      </c>
      <c r="J24" s="71">
        <f>'2'!J24</f>
        <v>115.49569270611019</v>
      </c>
      <c r="L24" s="85"/>
      <c r="M24" s="86"/>
      <c r="N24" s="85"/>
      <c r="O24" s="86"/>
    </row>
    <row r="25" spans="2:15" x14ac:dyDescent="0.25">
      <c r="B25" s="8"/>
      <c r="C25" s="145"/>
      <c r="D25" s="146"/>
      <c r="E25" s="146"/>
      <c r="F25" s="146"/>
      <c r="G25" s="146"/>
      <c r="H25" s="147"/>
      <c r="I25" s="70"/>
      <c r="J25" s="71"/>
      <c r="L25" s="85"/>
      <c r="M25" s="86"/>
      <c r="N25" s="85"/>
      <c r="O25" s="86"/>
    </row>
    <row r="26" spans="2:15" x14ac:dyDescent="0.25">
      <c r="B26" s="8"/>
      <c r="C26" s="9" t="s">
        <v>477</v>
      </c>
      <c r="D26" s="10" t="s">
        <v>10</v>
      </c>
      <c r="E26" s="37" t="s">
        <v>9</v>
      </c>
      <c r="F26" s="10" t="s">
        <v>89</v>
      </c>
      <c r="G26" s="21">
        <v>3.15</v>
      </c>
      <c r="H26" s="62">
        <v>7</v>
      </c>
      <c r="I26" s="70">
        <f>7860*O3*(2*(0.54+0.4)+2*0.1-6*0.025)*M26*2*H26</f>
        <v>78.062710203266505</v>
      </c>
      <c r="J26" s="71">
        <f>1.15*(7860*(T3*G26*O26))*H26</f>
        <v>320.58914545016262</v>
      </c>
      <c r="L26" s="78">
        <f>(G26-0.24)/0.25</f>
        <v>11.64</v>
      </c>
      <c r="M26" s="75">
        <v>13</v>
      </c>
      <c r="N26" s="78"/>
      <c r="O26" s="75">
        <f>4+4</f>
        <v>8</v>
      </c>
    </row>
    <row r="27" spans="2:15" x14ac:dyDescent="0.25">
      <c r="B27" s="8"/>
      <c r="C27" s="9" t="s">
        <v>478</v>
      </c>
      <c r="D27" s="10" t="s">
        <v>10</v>
      </c>
      <c r="E27" s="37" t="s">
        <v>9</v>
      </c>
      <c r="F27" s="10" t="s">
        <v>89</v>
      </c>
      <c r="G27" s="21">
        <v>3.15</v>
      </c>
      <c r="H27" s="62">
        <v>13</v>
      </c>
      <c r="I27" s="70">
        <f>7860*O3*(2*(0.54+0.4)+2*0.1-6*0.025)*M27*2*H27</f>
        <v>144.97360466320924</v>
      </c>
      <c r="J27" s="71">
        <f>1.15*(7860*(T3*G27*O27))*H27</f>
        <v>595.37984155030199</v>
      </c>
      <c r="L27" s="78">
        <f t="shared" ref="L27:L28" si="1">(G27-0.24)/0.25</f>
        <v>11.64</v>
      </c>
      <c r="M27" s="75">
        <v>13</v>
      </c>
      <c r="N27" s="78"/>
      <c r="O27" s="75">
        <f t="shared" ref="O27:O28" si="2">4+4</f>
        <v>8</v>
      </c>
    </row>
    <row r="28" spans="2:15" x14ac:dyDescent="0.25">
      <c r="B28" s="8"/>
      <c r="C28" s="9" t="s">
        <v>479</v>
      </c>
      <c r="D28" s="10" t="s">
        <v>10</v>
      </c>
      <c r="E28" s="37" t="s">
        <v>9</v>
      </c>
      <c r="F28" s="10" t="s">
        <v>89</v>
      </c>
      <c r="G28" s="21">
        <v>3.15</v>
      </c>
      <c r="H28" s="62">
        <v>6</v>
      </c>
      <c r="I28" s="70">
        <f>7860*O3*(2*(0.54+0.4)+2*0.1-6*0.025)*M28*2*H28</f>
        <v>66.910894459942725</v>
      </c>
      <c r="J28" s="71">
        <f>1.15*(7860*(T3*G28*O28))*H28</f>
        <v>274.79069610013937</v>
      </c>
      <c r="L28" s="78">
        <f t="shared" si="1"/>
        <v>11.64</v>
      </c>
      <c r="M28" s="75">
        <v>13</v>
      </c>
      <c r="N28" s="78"/>
      <c r="O28" s="75">
        <f t="shared" si="2"/>
        <v>8</v>
      </c>
    </row>
    <row r="29" spans="2:15" x14ac:dyDescent="0.25">
      <c r="B29" s="8"/>
      <c r="C29" s="145"/>
      <c r="D29" s="146"/>
      <c r="E29" s="146"/>
      <c r="F29" s="146"/>
      <c r="G29" s="146"/>
      <c r="H29" s="147"/>
      <c r="I29" s="70"/>
      <c r="J29" s="87"/>
      <c r="L29" s="78"/>
      <c r="M29" s="75"/>
      <c r="N29" s="78"/>
      <c r="O29" s="75"/>
    </row>
    <row r="30" spans="2:15" x14ac:dyDescent="0.25">
      <c r="B30" s="8"/>
      <c r="C30" s="95" t="s">
        <v>480</v>
      </c>
      <c r="D30" s="10" t="s">
        <v>15</v>
      </c>
      <c r="E30" s="37" t="s">
        <v>9</v>
      </c>
      <c r="F30" s="10" t="s">
        <v>16</v>
      </c>
      <c r="G30" s="38">
        <v>6.5</v>
      </c>
      <c r="H30" s="62">
        <v>1</v>
      </c>
      <c r="I30" s="107">
        <v>0</v>
      </c>
      <c r="J30" s="103">
        <f>16.4*(G30*3.14-1.22*2.26)</f>
        <v>289.50591999999995</v>
      </c>
      <c r="L30" s="78"/>
      <c r="M30" s="75"/>
      <c r="N30" s="78"/>
      <c r="O30" s="75"/>
    </row>
    <row r="31" spans="2:15" x14ac:dyDescent="0.25">
      <c r="B31" s="8"/>
      <c r="C31" s="95" t="s">
        <v>481</v>
      </c>
      <c r="D31" s="10" t="s">
        <v>15</v>
      </c>
      <c r="E31" s="37" t="s">
        <v>9</v>
      </c>
      <c r="F31" s="10" t="s">
        <v>16</v>
      </c>
      <c r="G31" s="38">
        <v>2.95</v>
      </c>
      <c r="H31" s="62">
        <v>1</v>
      </c>
      <c r="I31" s="107">
        <v>0</v>
      </c>
      <c r="J31" s="103">
        <f>16.4*(G31*3.14)</f>
        <v>151.91320000000002</v>
      </c>
      <c r="L31" s="78"/>
      <c r="M31" s="75"/>
      <c r="N31" s="78"/>
      <c r="O31" s="75"/>
    </row>
    <row r="32" spans="2:15" x14ac:dyDescent="0.25">
      <c r="B32" s="8"/>
      <c r="C32" s="95" t="s">
        <v>482</v>
      </c>
      <c r="D32" s="10" t="s">
        <v>15</v>
      </c>
      <c r="E32" s="37" t="s">
        <v>9</v>
      </c>
      <c r="F32" s="10" t="s">
        <v>16</v>
      </c>
      <c r="G32" s="38">
        <v>4.6500000000000004</v>
      </c>
      <c r="H32" s="62">
        <v>1</v>
      </c>
      <c r="I32" s="107">
        <v>0</v>
      </c>
      <c r="J32" s="103">
        <f>16.4*(G32*3.14-0.8*2.09)</f>
        <v>212.03559999999999</v>
      </c>
      <c r="L32" s="78"/>
      <c r="M32" s="75"/>
      <c r="N32" s="78"/>
      <c r="O32" s="75"/>
    </row>
    <row r="33" spans="2:15" x14ac:dyDescent="0.25">
      <c r="B33" s="8"/>
      <c r="C33" s="95" t="s">
        <v>483</v>
      </c>
      <c r="D33" s="10" t="s">
        <v>15</v>
      </c>
      <c r="E33" s="37" t="s">
        <v>9</v>
      </c>
      <c r="F33" s="10" t="s">
        <v>16</v>
      </c>
      <c r="G33" s="39">
        <v>6.5</v>
      </c>
      <c r="H33" s="62">
        <v>1</v>
      </c>
      <c r="I33" s="107">
        <v>0</v>
      </c>
      <c r="J33" s="103">
        <f>16.4*(G33*3.14)</f>
        <v>334.72399999999999</v>
      </c>
      <c r="L33" s="78"/>
      <c r="M33" s="75"/>
      <c r="N33" s="78"/>
      <c r="O33" s="75"/>
    </row>
    <row r="34" spans="2:15" x14ac:dyDescent="0.25">
      <c r="B34" s="8"/>
      <c r="C34" s="95" t="s">
        <v>484</v>
      </c>
      <c r="D34" s="10" t="s">
        <v>15</v>
      </c>
      <c r="E34" s="37" t="s">
        <v>9</v>
      </c>
      <c r="F34" s="10" t="s">
        <v>16</v>
      </c>
      <c r="G34" s="38">
        <v>11.18</v>
      </c>
      <c r="H34" s="62">
        <v>1</v>
      </c>
      <c r="I34" s="107">
        <v>0</v>
      </c>
      <c r="J34" s="103">
        <f>16.4*(G34*3.14-1.22*2.26)</f>
        <v>530.50720000000001</v>
      </c>
      <c r="L34" s="78"/>
      <c r="M34" s="75"/>
      <c r="N34" s="78"/>
      <c r="O34" s="75"/>
    </row>
    <row r="35" spans="2:15" x14ac:dyDescent="0.25">
      <c r="B35" s="8"/>
      <c r="C35" s="95" t="s">
        <v>485</v>
      </c>
      <c r="D35" s="10" t="s">
        <v>15</v>
      </c>
      <c r="E35" s="37" t="s">
        <v>9</v>
      </c>
      <c r="F35" s="10" t="s">
        <v>16</v>
      </c>
      <c r="G35" s="38">
        <v>4.1500000000000004</v>
      </c>
      <c r="H35" s="62">
        <v>1</v>
      </c>
      <c r="I35" s="107">
        <v>0</v>
      </c>
      <c r="J35" s="103">
        <f>16.4*(G35*3.14-1.18*2.33-1.18*2.33)</f>
        <v>123.52808000000005</v>
      </c>
      <c r="L35" s="78"/>
      <c r="M35" s="75"/>
      <c r="N35" s="78"/>
      <c r="O35" s="75"/>
    </row>
    <row r="36" spans="2:15" x14ac:dyDescent="0.25">
      <c r="B36" s="8"/>
      <c r="C36" s="95" t="s">
        <v>486</v>
      </c>
      <c r="D36" s="10" t="s">
        <v>15</v>
      </c>
      <c r="E36" s="37" t="s">
        <v>9</v>
      </c>
      <c r="F36" s="10" t="s">
        <v>16</v>
      </c>
      <c r="G36" s="38">
        <v>2.2000000000000002</v>
      </c>
      <c r="H36" s="62">
        <v>1</v>
      </c>
      <c r="I36" s="107">
        <v>0</v>
      </c>
      <c r="J36" s="103">
        <f>16.4*(G36*3.14)</f>
        <v>113.29120000000002</v>
      </c>
      <c r="L36" s="78"/>
      <c r="M36" s="75"/>
      <c r="N36" s="78"/>
      <c r="O36" s="75"/>
    </row>
    <row r="37" spans="2:15" x14ac:dyDescent="0.25">
      <c r="B37" s="8"/>
      <c r="C37" s="95" t="s">
        <v>487</v>
      </c>
      <c r="D37" s="10" t="s">
        <v>15</v>
      </c>
      <c r="E37" s="37" t="s">
        <v>9</v>
      </c>
      <c r="F37" s="10" t="s">
        <v>16</v>
      </c>
      <c r="G37" s="38">
        <v>2.2000000000000002</v>
      </c>
      <c r="H37" s="62">
        <v>1</v>
      </c>
      <c r="I37" s="107">
        <v>0</v>
      </c>
      <c r="J37" s="103">
        <f>16.4*(G37*3.14)</f>
        <v>113.29120000000002</v>
      </c>
      <c r="L37" s="78"/>
      <c r="M37" s="75"/>
      <c r="N37" s="78"/>
      <c r="O37" s="75"/>
    </row>
    <row r="38" spans="2:15" x14ac:dyDescent="0.25">
      <c r="B38" s="8"/>
      <c r="C38" s="95" t="s">
        <v>488</v>
      </c>
      <c r="D38" s="10" t="s">
        <v>15</v>
      </c>
      <c r="E38" s="37" t="s">
        <v>9</v>
      </c>
      <c r="F38" s="10" t="s">
        <v>16</v>
      </c>
      <c r="G38" s="38">
        <v>9.24</v>
      </c>
      <c r="H38" s="62">
        <v>1</v>
      </c>
      <c r="I38" s="107">
        <v>0</v>
      </c>
      <c r="J38" s="103">
        <f>16.4*(G38*3.14-1.7*3.14)</f>
        <v>388.27983999999998</v>
      </c>
      <c r="L38" s="78"/>
      <c r="M38" s="75"/>
      <c r="N38" s="78"/>
      <c r="O38" s="75"/>
    </row>
    <row r="39" spans="2:15" x14ac:dyDescent="0.25">
      <c r="B39" s="8"/>
      <c r="C39" s="95" t="s">
        <v>489</v>
      </c>
      <c r="D39" s="10" t="s">
        <v>15</v>
      </c>
      <c r="E39" s="37" t="s">
        <v>9</v>
      </c>
      <c r="F39" s="10" t="s">
        <v>16</v>
      </c>
      <c r="G39" s="38">
        <v>6.5</v>
      </c>
      <c r="H39" s="62">
        <v>1</v>
      </c>
      <c r="I39" s="107">
        <v>0</v>
      </c>
      <c r="J39" s="103">
        <f>16.4*(G39*3.14-1*2.23)</f>
        <v>298.15199999999999</v>
      </c>
      <c r="L39" s="78"/>
      <c r="M39" s="75"/>
      <c r="N39" s="78"/>
      <c r="O39" s="75"/>
    </row>
    <row r="40" spans="2:15" x14ac:dyDescent="0.25">
      <c r="B40" s="8"/>
      <c r="C40" s="95" t="s">
        <v>490</v>
      </c>
      <c r="D40" s="10" t="s">
        <v>15</v>
      </c>
      <c r="E40" s="37" t="s">
        <v>9</v>
      </c>
      <c r="F40" s="10" t="s">
        <v>16</v>
      </c>
      <c r="G40" s="38">
        <v>6.5</v>
      </c>
      <c r="H40" s="62">
        <v>1</v>
      </c>
      <c r="I40" s="107">
        <v>0</v>
      </c>
      <c r="J40" s="103">
        <f>16.4*(G40*3.14-0.9*2.23*4)</f>
        <v>203.06479999999999</v>
      </c>
      <c r="L40" s="78"/>
      <c r="M40" s="75"/>
      <c r="N40" s="78"/>
      <c r="O40" s="75"/>
    </row>
    <row r="41" spans="2:15" x14ac:dyDescent="0.25">
      <c r="B41" s="8"/>
      <c r="C41" s="145"/>
      <c r="D41" s="146"/>
      <c r="E41" s="146"/>
      <c r="F41" s="146"/>
      <c r="G41" s="146"/>
      <c r="H41" s="147"/>
      <c r="I41" s="70"/>
      <c r="J41" s="87"/>
      <c r="L41" s="78"/>
      <c r="M41" s="75"/>
      <c r="N41" s="78"/>
      <c r="O41" s="75"/>
    </row>
    <row r="42" spans="2:15" x14ac:dyDescent="0.25">
      <c r="B42" s="8"/>
      <c r="C42" s="9" t="s">
        <v>491</v>
      </c>
      <c r="D42" s="10" t="s">
        <v>17</v>
      </c>
      <c r="E42" s="37" t="s">
        <v>9</v>
      </c>
      <c r="F42" s="10" t="s">
        <v>60</v>
      </c>
      <c r="G42" s="40" t="s">
        <v>8</v>
      </c>
      <c r="H42" s="62">
        <v>1</v>
      </c>
      <c r="I42" s="70">
        <v>0</v>
      </c>
      <c r="J42" s="71">
        <f>1.15*(6328+177+116+61+59+4339+13+54+63+30+183+50+43+161+36+41+391+61+118+278+148+52+19+70+11+277+28+296+14+15+28+324)</f>
        <v>15966.599999999999</v>
      </c>
      <c r="L42" s="78"/>
      <c r="M42" s="75"/>
      <c r="N42" s="78"/>
      <c r="O42" s="75"/>
    </row>
    <row r="43" spans="2:15" x14ac:dyDescent="0.25">
      <c r="B43" s="8"/>
      <c r="C43" s="145"/>
      <c r="D43" s="146"/>
      <c r="E43" s="146"/>
      <c r="F43" s="146"/>
      <c r="G43" s="146"/>
      <c r="H43" s="147"/>
      <c r="I43" s="70"/>
      <c r="J43" s="71"/>
      <c r="L43" s="78"/>
      <c r="M43" s="75"/>
      <c r="N43" s="78"/>
      <c r="O43" s="75"/>
    </row>
    <row r="44" spans="2:15" x14ac:dyDescent="0.25">
      <c r="B44" s="8"/>
      <c r="C44" s="9" t="s">
        <v>492</v>
      </c>
      <c r="D44" s="10" t="s">
        <v>193</v>
      </c>
      <c r="E44" s="37" t="s">
        <v>9</v>
      </c>
      <c r="F44" s="10" t="s">
        <v>194</v>
      </c>
      <c r="G44" s="40" t="s">
        <v>8</v>
      </c>
      <c r="H44" s="62">
        <v>1</v>
      </c>
      <c r="I44" s="70">
        <v>0</v>
      </c>
      <c r="J44" s="71">
        <f>1.15*(98+282)</f>
        <v>436.99999999999994</v>
      </c>
      <c r="L44" s="78"/>
      <c r="M44" s="75"/>
      <c r="N44" s="78"/>
      <c r="O44" s="75"/>
    </row>
    <row r="45" spans="2:15" x14ac:dyDescent="0.25">
      <c r="B45" s="8"/>
      <c r="C45" s="9" t="s">
        <v>493</v>
      </c>
      <c r="D45" s="10" t="s">
        <v>193</v>
      </c>
      <c r="E45" s="37" t="s">
        <v>9</v>
      </c>
      <c r="F45" s="10" t="s">
        <v>194</v>
      </c>
      <c r="G45" s="40" t="s">
        <v>8</v>
      </c>
      <c r="H45" s="62">
        <v>1</v>
      </c>
      <c r="I45" s="70">
        <v>0</v>
      </c>
      <c r="J45" s="71">
        <f>1.15*(115+332)</f>
        <v>514.04999999999995</v>
      </c>
      <c r="L45" s="78"/>
      <c r="M45" s="75"/>
      <c r="N45" s="78"/>
      <c r="O45" s="75"/>
    </row>
    <row r="46" spans="2:15" x14ac:dyDescent="0.25">
      <c r="B46" s="8"/>
      <c r="C46" s="9" t="s">
        <v>494</v>
      </c>
      <c r="D46" s="10" t="s">
        <v>193</v>
      </c>
      <c r="E46" s="37" t="s">
        <v>9</v>
      </c>
      <c r="F46" s="10" t="s">
        <v>194</v>
      </c>
      <c r="G46" s="40" t="s">
        <v>8</v>
      </c>
      <c r="H46" s="62">
        <v>1</v>
      </c>
      <c r="I46" s="70">
        <v>0</v>
      </c>
      <c r="J46" s="71">
        <f>1.15*(84+151)</f>
        <v>270.25</v>
      </c>
      <c r="L46" s="78"/>
      <c r="M46" s="75"/>
      <c r="N46" s="78"/>
      <c r="O46" s="75"/>
    </row>
    <row r="47" spans="2:15" x14ac:dyDescent="0.25">
      <c r="B47" s="8"/>
      <c r="C47" s="9" t="s">
        <v>495</v>
      </c>
      <c r="D47" s="10" t="s">
        <v>193</v>
      </c>
      <c r="E47" s="37" t="s">
        <v>9</v>
      </c>
      <c r="F47" s="10" t="s">
        <v>194</v>
      </c>
      <c r="G47" s="40" t="s">
        <v>8</v>
      </c>
      <c r="H47" s="62">
        <v>1</v>
      </c>
      <c r="I47" s="70">
        <v>0</v>
      </c>
      <c r="J47" s="71">
        <f>1.15*(75+136)</f>
        <v>242.64999999999998</v>
      </c>
      <c r="L47" s="78"/>
      <c r="M47" s="75"/>
      <c r="N47" s="78"/>
      <c r="O47" s="75"/>
    </row>
    <row r="48" spans="2:15" x14ac:dyDescent="0.25">
      <c r="B48" s="8"/>
      <c r="C48" s="9" t="s">
        <v>496</v>
      </c>
      <c r="D48" s="10" t="s">
        <v>193</v>
      </c>
      <c r="E48" s="37" t="s">
        <v>9</v>
      </c>
      <c r="F48" s="10" t="s">
        <v>194</v>
      </c>
      <c r="G48" s="40" t="s">
        <v>8</v>
      </c>
      <c r="H48" s="62">
        <v>1</v>
      </c>
      <c r="I48" s="70">
        <v>0</v>
      </c>
      <c r="J48" s="71">
        <f>1.15*(83+240)</f>
        <v>371.45</v>
      </c>
      <c r="L48" s="78"/>
      <c r="M48" s="75"/>
      <c r="N48" s="78"/>
      <c r="O48" s="75"/>
    </row>
    <row r="49" spans="2:23" x14ac:dyDescent="0.25">
      <c r="B49" s="8"/>
      <c r="C49" s="9" t="s">
        <v>497</v>
      </c>
      <c r="D49" s="10" t="s">
        <v>193</v>
      </c>
      <c r="E49" s="37" t="s">
        <v>9</v>
      </c>
      <c r="F49" s="10" t="s">
        <v>194</v>
      </c>
      <c r="G49" s="40" t="s">
        <v>8</v>
      </c>
      <c r="H49" s="62">
        <v>1</v>
      </c>
      <c r="I49" s="70">
        <v>0</v>
      </c>
      <c r="J49" s="71">
        <f>1.15*(84+151)</f>
        <v>270.25</v>
      </c>
      <c r="L49" s="78"/>
      <c r="M49" s="75"/>
      <c r="N49" s="78"/>
      <c r="O49" s="75"/>
    </row>
    <row r="50" spans="2:23" x14ac:dyDescent="0.25">
      <c r="B50" s="8"/>
      <c r="C50" s="9" t="s">
        <v>498</v>
      </c>
      <c r="D50" s="10" t="s">
        <v>193</v>
      </c>
      <c r="E50" s="37" t="s">
        <v>9</v>
      </c>
      <c r="F50" s="10" t="s">
        <v>194</v>
      </c>
      <c r="G50" s="40" t="s">
        <v>8</v>
      </c>
      <c r="H50" s="62">
        <v>1</v>
      </c>
      <c r="I50" s="70">
        <v>0</v>
      </c>
      <c r="J50" s="71">
        <f>1.15*(84+242)</f>
        <v>374.9</v>
      </c>
      <c r="L50" s="78"/>
      <c r="M50" s="75"/>
      <c r="N50" s="78"/>
      <c r="O50" s="75"/>
    </row>
    <row r="51" spans="2:23" x14ac:dyDescent="0.25">
      <c r="B51" s="8"/>
      <c r="C51" s="145"/>
      <c r="D51" s="146"/>
      <c r="E51" s="146"/>
      <c r="F51" s="146"/>
      <c r="G51" s="146"/>
      <c r="H51" s="147"/>
      <c r="I51" s="70"/>
      <c r="J51" s="87"/>
      <c r="L51" s="78"/>
      <c r="M51" s="75"/>
      <c r="N51" s="78"/>
      <c r="O51" s="75"/>
    </row>
    <row r="52" spans="2:23" ht="30" x14ac:dyDescent="0.25">
      <c r="B52" s="8"/>
      <c r="C52" s="41" t="s">
        <v>499</v>
      </c>
      <c r="D52" s="10" t="s">
        <v>56</v>
      </c>
      <c r="E52" s="37" t="s">
        <v>9</v>
      </c>
      <c r="F52" s="37" t="s">
        <v>350</v>
      </c>
      <c r="G52" s="40" t="s">
        <v>8</v>
      </c>
      <c r="H52" s="117">
        <v>1</v>
      </c>
      <c r="I52" s="70">
        <f>7860*(O3*(1.32-2*0.025)*(M52+Q52))*1.5+7860*(O3*(0.78-2*0.025)*U52)*2</f>
        <v>16.594381856396716</v>
      </c>
      <c r="J52" s="71">
        <f>1.15*(7860*(Q3*(3.33+3.26)*O52))*1.5+1.15*(7860*(R3*2.64*W52))*2</f>
        <v>125.23439446986916</v>
      </c>
      <c r="L52" s="85">
        <f>3.33/0.25</f>
        <v>13.32</v>
      </c>
      <c r="M52" s="86">
        <v>15</v>
      </c>
      <c r="N52" s="85">
        <f>(1.32-2*0.025)/0.1</f>
        <v>12.7</v>
      </c>
      <c r="O52" s="86">
        <v>14</v>
      </c>
      <c r="P52" s="6">
        <f>3.26/0.25</f>
        <v>13.04</v>
      </c>
      <c r="Q52" s="6">
        <v>15</v>
      </c>
      <c r="T52" s="6">
        <f>(2.64-2*0.025)/0.25</f>
        <v>10.360000000000001</v>
      </c>
      <c r="U52" s="6">
        <v>12</v>
      </c>
      <c r="V52">
        <f>(0.78-2*0.025)/0.2</f>
        <v>3.65</v>
      </c>
      <c r="W52">
        <v>5</v>
      </c>
    </row>
    <row r="53" spans="2:23" x14ac:dyDescent="0.25">
      <c r="B53" s="8"/>
      <c r="C53" s="9" t="s">
        <v>500</v>
      </c>
      <c r="D53" s="10" t="s">
        <v>63</v>
      </c>
      <c r="E53" s="37" t="s">
        <v>9</v>
      </c>
      <c r="F53" s="10" t="s">
        <v>190</v>
      </c>
      <c r="G53" s="38">
        <v>3.14</v>
      </c>
      <c r="H53" s="111">
        <v>1</v>
      </c>
      <c r="I53" s="70">
        <f>7860*O3*(2*(0.24+0.38)+2*0.1-8*0.025)*M53</f>
        <v>5.2358863872600327</v>
      </c>
      <c r="J53" s="71">
        <f>1.15*(7860*(T3*G53*O53))+1.15*(7860*(R3*G53*Q53))</f>
        <v>17.833225565361232</v>
      </c>
      <c r="L53" s="85">
        <f>(G53-2*0.25)/0.15</f>
        <v>17.600000000000001</v>
      </c>
      <c r="M53" s="86">
        <v>19</v>
      </c>
      <c r="N53" s="85"/>
      <c r="O53" s="86">
        <f>2</f>
        <v>2</v>
      </c>
      <c r="P53" s="6"/>
      <c r="Q53" s="6">
        <f>2</f>
        <v>2</v>
      </c>
    </row>
    <row r="54" spans="2:23" x14ac:dyDescent="0.25">
      <c r="B54" s="8"/>
      <c r="C54" s="9" t="s">
        <v>501</v>
      </c>
      <c r="D54" s="10" t="s">
        <v>63</v>
      </c>
      <c r="E54" s="37" t="s">
        <v>9</v>
      </c>
      <c r="F54" s="10" t="s">
        <v>191</v>
      </c>
      <c r="G54" s="101">
        <v>2.64</v>
      </c>
      <c r="H54" s="111">
        <v>1</v>
      </c>
      <c r="I54" s="70">
        <f>7860*O3*(2*(0.54+0.2)+2*0.1-6*0.025)*M54*2</f>
        <v>12.920816407270724</v>
      </c>
      <c r="J54" s="71">
        <f>1.15*(7860*(R3*G54*O54))</f>
        <v>29.687209132247208</v>
      </c>
      <c r="L54" s="85">
        <f>(G54)/0.15</f>
        <v>17.600000000000001</v>
      </c>
      <c r="M54" s="86">
        <v>19</v>
      </c>
      <c r="N54" s="85"/>
      <c r="O54" s="86">
        <f>4+7</f>
        <v>11</v>
      </c>
    </row>
    <row r="55" spans="2:23" x14ac:dyDescent="0.25">
      <c r="C55" s="159"/>
      <c r="D55" s="137"/>
      <c r="E55" s="137"/>
      <c r="F55" s="137"/>
      <c r="G55" s="137"/>
      <c r="H55" s="160"/>
      <c r="I55" s="70"/>
      <c r="J55" s="71"/>
      <c r="L55" s="85"/>
      <c r="M55" s="86"/>
      <c r="N55" s="85"/>
      <c r="O55" s="86"/>
    </row>
    <row r="56" spans="2:23" ht="45.75" thickBot="1" x14ac:dyDescent="0.3">
      <c r="C56" s="51" t="s">
        <v>502</v>
      </c>
      <c r="D56" s="42" t="s">
        <v>444</v>
      </c>
      <c r="E56" s="43" t="s">
        <v>445</v>
      </c>
      <c r="F56" s="43" t="s">
        <v>456</v>
      </c>
      <c r="G56" s="44">
        <v>3.65</v>
      </c>
      <c r="H56" s="118">
        <v>1</v>
      </c>
      <c r="I56" s="72"/>
      <c r="J56" s="73"/>
      <c r="L56" s="90"/>
      <c r="M56" s="91"/>
      <c r="N56" s="90"/>
      <c r="O56" s="91"/>
    </row>
    <row r="57" spans="2:23" ht="15.75" thickBot="1" x14ac:dyDescent="0.3">
      <c r="C57" s="126" t="s">
        <v>648</v>
      </c>
      <c r="D57" s="126"/>
      <c r="E57" s="126"/>
      <c r="F57" s="126"/>
      <c r="G57" s="126"/>
      <c r="H57" s="126"/>
      <c r="I57" s="119">
        <f>SUM(I7:I56)</f>
        <v>765.46392171845673</v>
      </c>
      <c r="J57" s="120">
        <f>SUM(J7:J56)</f>
        <v>24465.463161558022</v>
      </c>
    </row>
  </sheetData>
  <mergeCells count="13">
    <mergeCell ref="I4:J4"/>
    <mergeCell ref="C57:H57"/>
    <mergeCell ref="C29:H29"/>
    <mergeCell ref="C41:H41"/>
    <mergeCell ref="C43:H43"/>
    <mergeCell ref="C51:H51"/>
    <mergeCell ref="C55:H55"/>
    <mergeCell ref="C25:H25"/>
    <mergeCell ref="C4:H4"/>
    <mergeCell ref="C6:H6"/>
    <mergeCell ref="C8:H8"/>
    <mergeCell ref="C12:H12"/>
    <mergeCell ref="C14:H14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01906-7CEA-4526-8F73-CC438576E381}">
  <dimension ref="B1:W57"/>
  <sheetViews>
    <sheetView topLeftCell="A26" workbookViewId="0">
      <selection activeCell="J57" sqref="J57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28515625" customWidth="1"/>
  </cols>
  <sheetData>
    <row r="1" spans="2:22" x14ac:dyDescent="0.25">
      <c r="B1" s="8"/>
      <c r="C1" s="32"/>
      <c r="D1" s="33"/>
      <c r="E1" s="34"/>
      <c r="F1" s="33"/>
      <c r="G1" s="35"/>
      <c r="H1" s="32"/>
    </row>
    <row r="2" spans="2:22" x14ac:dyDescent="0.25">
      <c r="B2" s="8"/>
      <c r="C2" s="32"/>
      <c r="D2" s="33"/>
      <c r="E2" s="34"/>
      <c r="F2" s="33"/>
      <c r="G2" s="35"/>
      <c r="H2" s="32"/>
      <c r="O2" s="67" t="str">
        <f>F!O2</f>
        <v>6 [m2]</v>
      </c>
      <c r="P2" s="67" t="str">
        <f>F!P2</f>
        <v>8 [m2]</v>
      </c>
      <c r="Q2" s="67" t="str">
        <f>F!Q2</f>
        <v>10 [m2]</v>
      </c>
      <c r="R2" s="67" t="str">
        <f>F!R2</f>
        <v>12 [m2]</v>
      </c>
      <c r="S2" s="67" t="str">
        <f>F!S2</f>
        <v>14 [m2]</v>
      </c>
      <c r="T2" s="67" t="str">
        <f>F!T2</f>
        <v>16 [m2]</v>
      </c>
      <c r="U2" s="67" t="str">
        <f>F!U2</f>
        <v>20 [m2]</v>
      </c>
      <c r="V2" s="67" t="str">
        <f>F!V2</f>
        <v>24 [m2]</v>
      </c>
    </row>
    <row r="3" spans="2:22" ht="15.75" thickBot="1" x14ac:dyDescent="0.3">
      <c r="B3" s="8"/>
      <c r="C3" s="32"/>
      <c r="D3" s="33"/>
      <c r="E3" s="34"/>
      <c r="F3" s="33"/>
      <c r="G3" s="35"/>
      <c r="H3" s="32"/>
      <c r="O3" s="67">
        <f>F!O3</f>
        <v>2.8274333882308137E-5</v>
      </c>
      <c r="P3" s="67">
        <f>F!P3</f>
        <v>5.0265482457436686E-5</v>
      </c>
      <c r="Q3" s="67">
        <f>F!Q3</f>
        <v>7.8539816339744827E-5</v>
      </c>
      <c r="R3" s="67">
        <f>F!R3</f>
        <v>1.1309733552923255E-4</v>
      </c>
      <c r="S3" s="67">
        <f>F!S3</f>
        <v>1.5393804002589989E-4</v>
      </c>
      <c r="T3" s="67">
        <f>F!T3</f>
        <v>2.0106192982974675E-4</v>
      </c>
      <c r="U3" s="67">
        <f>F!U3</f>
        <v>3.1415926535897931E-4</v>
      </c>
      <c r="V3" s="67">
        <f>F!V3</f>
        <v>4.523893421169302E-4</v>
      </c>
    </row>
    <row r="4" spans="2:22" ht="15.75" thickBot="1" x14ac:dyDescent="0.3">
      <c r="B4" s="8"/>
      <c r="C4" s="131" t="s">
        <v>3</v>
      </c>
      <c r="D4" s="132"/>
      <c r="E4" s="132"/>
      <c r="F4" s="132"/>
      <c r="G4" s="132"/>
      <c r="H4" s="135"/>
      <c r="I4" s="124" t="s">
        <v>647</v>
      </c>
      <c r="J4" s="125"/>
      <c r="L4" s="2" t="s">
        <v>545</v>
      </c>
    </row>
    <row r="5" spans="2:22" ht="26.25" thickBot="1" x14ac:dyDescent="0.3">
      <c r="B5" s="8"/>
      <c r="C5" s="45" t="s">
        <v>2</v>
      </c>
      <c r="D5" s="46" t="s">
        <v>0</v>
      </c>
      <c r="E5" s="47" t="s">
        <v>4</v>
      </c>
      <c r="F5" s="47" t="s">
        <v>5</v>
      </c>
      <c r="G5" s="47" t="s">
        <v>1</v>
      </c>
      <c r="H5" s="48" t="s">
        <v>6</v>
      </c>
      <c r="I5" s="98" t="s">
        <v>649</v>
      </c>
      <c r="J5" s="99" t="s">
        <v>650</v>
      </c>
      <c r="L5" s="2"/>
    </row>
    <row r="6" spans="2:22" x14ac:dyDescent="0.25">
      <c r="B6" s="8"/>
      <c r="C6" s="133"/>
      <c r="D6" s="134"/>
      <c r="E6" s="134"/>
      <c r="F6" s="134"/>
      <c r="G6" s="134"/>
      <c r="H6" s="134"/>
      <c r="I6" s="68"/>
      <c r="J6" s="69"/>
    </row>
    <row r="7" spans="2:22" ht="30" x14ac:dyDescent="0.25">
      <c r="B7" s="8"/>
      <c r="C7" s="14" t="s">
        <v>585</v>
      </c>
      <c r="D7" s="36" t="s">
        <v>165</v>
      </c>
      <c r="E7" s="11" t="s">
        <v>8</v>
      </c>
      <c r="F7" s="10" t="s">
        <v>269</v>
      </c>
      <c r="G7" s="38">
        <v>1.4</v>
      </c>
      <c r="H7" s="110">
        <v>5</v>
      </c>
      <c r="I7" s="70"/>
      <c r="J7" s="71"/>
      <c r="L7" s="83"/>
      <c r="M7" s="84"/>
      <c r="N7" s="83"/>
      <c r="O7" s="84"/>
    </row>
    <row r="8" spans="2:22" x14ac:dyDescent="0.25">
      <c r="B8" s="8"/>
      <c r="C8" s="150"/>
      <c r="D8" s="151"/>
      <c r="E8" s="151"/>
      <c r="F8" s="151"/>
      <c r="G8" s="151"/>
      <c r="H8" s="151"/>
      <c r="I8" s="70"/>
      <c r="J8" s="71"/>
      <c r="L8" s="78"/>
      <c r="M8" s="75"/>
      <c r="N8" s="78"/>
      <c r="O8" s="75"/>
    </row>
    <row r="9" spans="2:22" x14ac:dyDescent="0.25">
      <c r="B9" s="8"/>
      <c r="C9" s="14" t="s">
        <v>586</v>
      </c>
      <c r="D9" s="36" t="s">
        <v>266</v>
      </c>
      <c r="E9" s="37" t="s">
        <v>9</v>
      </c>
      <c r="F9" s="10" t="s">
        <v>64</v>
      </c>
      <c r="G9" s="38">
        <v>2.2000000000000002</v>
      </c>
      <c r="H9" s="110">
        <v>1</v>
      </c>
      <c r="I9" s="70">
        <f>7860*O3*(2*(0.25+0.3)+2*0.1-8*0.025)*M9*H9</f>
        <v>2.4445989074643619</v>
      </c>
      <c r="J9" s="71">
        <f>1.15*(7860*(R3*G9*O9))*H9</f>
        <v>8.9961239794688499</v>
      </c>
      <c r="L9" s="85">
        <f>(G9-0.5)/0.2</f>
        <v>8.5</v>
      </c>
      <c r="M9" s="86">
        <v>10</v>
      </c>
      <c r="N9" s="85"/>
      <c r="O9" s="86">
        <f>2+2</f>
        <v>4</v>
      </c>
    </row>
    <row r="10" spans="2:22" x14ac:dyDescent="0.25">
      <c r="B10" s="8"/>
      <c r="C10" s="14" t="s">
        <v>587</v>
      </c>
      <c r="D10" s="36" t="s">
        <v>266</v>
      </c>
      <c r="E10" s="37" t="s">
        <v>9</v>
      </c>
      <c r="F10" s="10" t="s">
        <v>264</v>
      </c>
      <c r="G10" s="38">
        <v>1.5</v>
      </c>
      <c r="H10" s="110">
        <v>1</v>
      </c>
      <c r="I10" s="70">
        <f>7860*O3*(2*(0.24+0.24)+2*0.1-8*0.025)*M10*H10</f>
        <v>1.7067745099387541</v>
      </c>
      <c r="J10" s="71">
        <f>1.15*(7860*(R3*G10*O10))*H10</f>
        <v>6.1337208950923978</v>
      </c>
      <c r="L10" s="85">
        <f>(G10-0.5)/0.15</f>
        <v>6.666666666666667</v>
      </c>
      <c r="M10" s="86">
        <v>8</v>
      </c>
      <c r="N10" s="85"/>
      <c r="O10" s="86">
        <f t="shared" ref="O10:O11" si="0">2+2</f>
        <v>4</v>
      </c>
    </row>
    <row r="11" spans="2:22" x14ac:dyDescent="0.25">
      <c r="B11" s="8"/>
      <c r="C11" s="9" t="s">
        <v>588</v>
      </c>
      <c r="D11" s="36" t="s">
        <v>266</v>
      </c>
      <c r="E11" s="37" t="s">
        <v>9</v>
      </c>
      <c r="F11" s="10" t="s">
        <v>264</v>
      </c>
      <c r="G11" s="38">
        <v>1.75</v>
      </c>
      <c r="H11" s="110">
        <v>1</v>
      </c>
      <c r="I11" s="70">
        <f>7860*O3*(2*(0.24+0.24)+2*0.1-8*0.025)*M11*H11</f>
        <v>2.1334681374234425</v>
      </c>
      <c r="J11" s="71">
        <f>1.15*(7860*(R3*G11*O11))*H11</f>
        <v>7.1560077109411298</v>
      </c>
      <c r="L11" s="85">
        <f>(G11-0.5)/0.15</f>
        <v>8.3333333333333339</v>
      </c>
      <c r="M11" s="86">
        <v>10</v>
      </c>
      <c r="N11" s="85"/>
      <c r="O11" s="86">
        <f t="shared" si="0"/>
        <v>4</v>
      </c>
    </row>
    <row r="12" spans="2:22" x14ac:dyDescent="0.25">
      <c r="B12" s="8"/>
      <c r="C12" s="150"/>
      <c r="D12" s="151"/>
      <c r="E12" s="151"/>
      <c r="F12" s="151"/>
      <c r="G12" s="151"/>
      <c r="H12" s="151"/>
      <c r="I12" s="70"/>
      <c r="J12" s="71"/>
      <c r="L12" s="85"/>
      <c r="M12" s="86"/>
      <c r="N12" s="85"/>
      <c r="O12" s="86"/>
    </row>
    <row r="13" spans="2:22" x14ac:dyDescent="0.25">
      <c r="B13" s="8"/>
      <c r="C13" s="9" t="s">
        <v>589</v>
      </c>
      <c r="D13" s="10" t="s">
        <v>7</v>
      </c>
      <c r="E13" s="37" t="s">
        <v>9</v>
      </c>
      <c r="F13" s="10" t="s">
        <v>270</v>
      </c>
      <c r="G13" s="20">
        <v>2.2000000000000002</v>
      </c>
      <c r="H13" s="62">
        <v>1</v>
      </c>
      <c r="I13" s="93">
        <f>7860*O3*(2*(0.16+0.35)+2*0.1-6*0.025)*M13*2</f>
        <v>6.1826128732416841</v>
      </c>
      <c r="J13" s="87">
        <f>1.15*(7860*(T3*G13*O13))</f>
        <v>31.986218593667022</v>
      </c>
      <c r="L13" s="78">
        <f>(G13-2*0.25)/0.15</f>
        <v>11.333333333333336</v>
      </c>
      <c r="M13" s="75">
        <v>13</v>
      </c>
      <c r="N13" s="78"/>
      <c r="O13" s="75">
        <f>4+4</f>
        <v>8</v>
      </c>
    </row>
    <row r="14" spans="2:22" x14ac:dyDescent="0.25">
      <c r="B14" s="8"/>
      <c r="C14" s="150"/>
      <c r="D14" s="151"/>
      <c r="E14" s="151"/>
      <c r="F14" s="151"/>
      <c r="G14" s="151"/>
      <c r="H14" s="151"/>
      <c r="I14" s="70"/>
      <c r="J14" s="71"/>
      <c r="L14" s="85"/>
      <c r="M14" s="86"/>
      <c r="N14" s="85"/>
      <c r="O14" s="86"/>
    </row>
    <row r="15" spans="2:22" x14ac:dyDescent="0.25">
      <c r="B15" s="8"/>
      <c r="C15" s="9" t="s">
        <v>590</v>
      </c>
      <c r="D15" s="10" t="s">
        <v>52</v>
      </c>
      <c r="E15" s="37" t="s">
        <v>9</v>
      </c>
      <c r="F15" s="10" t="s">
        <v>155</v>
      </c>
      <c r="G15" s="21">
        <v>6.5</v>
      </c>
      <c r="H15" s="62">
        <v>1</v>
      </c>
      <c r="I15" s="70">
        <f>'2'!I15</f>
        <v>24.605999184950374</v>
      </c>
      <c r="J15" s="71">
        <f>'2'!J15</f>
        <v>105.4091294564027</v>
      </c>
      <c r="L15" s="85"/>
      <c r="M15" s="86"/>
      <c r="N15" s="85"/>
      <c r="O15" s="86"/>
    </row>
    <row r="16" spans="2:22" x14ac:dyDescent="0.25">
      <c r="B16" s="8"/>
      <c r="C16" s="9" t="s">
        <v>591</v>
      </c>
      <c r="D16" s="10" t="s">
        <v>52</v>
      </c>
      <c r="E16" s="37" t="s">
        <v>9</v>
      </c>
      <c r="F16" s="10" t="s">
        <v>155</v>
      </c>
      <c r="G16" s="21">
        <v>9.4499999999999993</v>
      </c>
      <c r="H16" s="62">
        <v>1</v>
      </c>
      <c r="I16" s="70">
        <f>'2'!I16</f>
        <v>32.295373930247365</v>
      </c>
      <c r="J16" s="71">
        <f>'2'!J16</f>
        <v>137.39534805006969</v>
      </c>
      <c r="L16" s="85"/>
      <c r="M16" s="86"/>
      <c r="N16" s="85"/>
      <c r="O16" s="86"/>
    </row>
    <row r="17" spans="2:15" x14ac:dyDescent="0.25">
      <c r="B17" s="8"/>
      <c r="C17" s="9" t="s">
        <v>592</v>
      </c>
      <c r="D17" s="10" t="s">
        <v>52</v>
      </c>
      <c r="E17" s="37" t="s">
        <v>9</v>
      </c>
      <c r="F17" s="10" t="s">
        <v>155</v>
      </c>
      <c r="G17" s="21">
        <v>11.9</v>
      </c>
      <c r="H17" s="62">
        <v>1</v>
      </c>
      <c r="I17" s="70">
        <f>'2'!I17</f>
        <v>44.598373522722554</v>
      </c>
      <c r="J17" s="71">
        <f>'2'!J17</f>
        <v>187.21479220909796</v>
      </c>
      <c r="L17" s="78"/>
      <c r="M17" s="75"/>
      <c r="N17" s="78"/>
      <c r="O17" s="75"/>
    </row>
    <row r="18" spans="2:15" x14ac:dyDescent="0.25">
      <c r="B18" s="8"/>
      <c r="C18" s="9" t="s">
        <v>593</v>
      </c>
      <c r="D18" s="10" t="s">
        <v>52</v>
      </c>
      <c r="E18" s="37" t="s">
        <v>9</v>
      </c>
      <c r="F18" s="10" t="s">
        <v>155</v>
      </c>
      <c r="G18" s="21">
        <v>22.1</v>
      </c>
      <c r="H18" s="62">
        <v>1</v>
      </c>
      <c r="I18" s="70">
        <f>'2'!I18</f>
        <v>76.124809978440226</v>
      </c>
      <c r="J18" s="71">
        <f>'2'!J18</f>
        <v>294.41860296443514</v>
      </c>
      <c r="L18" s="78"/>
      <c r="M18" s="75"/>
      <c r="N18" s="78"/>
      <c r="O18" s="75"/>
    </row>
    <row r="19" spans="2:15" x14ac:dyDescent="0.25">
      <c r="B19" s="8"/>
      <c r="C19" s="9" t="s">
        <v>594</v>
      </c>
      <c r="D19" s="10" t="s">
        <v>52</v>
      </c>
      <c r="E19" s="37" t="s">
        <v>9</v>
      </c>
      <c r="F19" s="10" t="s">
        <v>155</v>
      </c>
      <c r="G19" s="21">
        <v>18.149999999999999</v>
      </c>
      <c r="H19" s="62">
        <v>1</v>
      </c>
      <c r="I19" s="70">
        <f>'2'!I19</f>
        <v>67.666497758613531</v>
      </c>
      <c r="J19" s="71">
        <f>'2'!J19</f>
        <v>311.25225919874418</v>
      </c>
      <c r="L19" s="78"/>
      <c r="M19" s="75"/>
      <c r="N19" s="78"/>
      <c r="O19" s="75"/>
    </row>
    <row r="20" spans="2:15" x14ac:dyDescent="0.25">
      <c r="B20" s="8"/>
      <c r="C20" s="9" t="s">
        <v>595</v>
      </c>
      <c r="D20" s="10" t="s">
        <v>52</v>
      </c>
      <c r="E20" s="37" t="s">
        <v>9</v>
      </c>
      <c r="F20" s="10" t="s">
        <v>155</v>
      </c>
      <c r="G20" s="21">
        <v>11.18</v>
      </c>
      <c r="H20" s="62">
        <v>1</v>
      </c>
      <c r="I20" s="70">
        <f>'2'!I20</f>
        <v>38.446873726484959</v>
      </c>
      <c r="J20" s="71">
        <f>'2'!J20</f>
        <v>169.81774235183218</v>
      </c>
      <c r="L20" s="78"/>
      <c r="M20" s="75"/>
      <c r="N20" s="78"/>
      <c r="O20" s="75"/>
    </row>
    <row r="21" spans="2:15" x14ac:dyDescent="0.25">
      <c r="B21" s="8"/>
      <c r="C21" s="9" t="s">
        <v>596</v>
      </c>
      <c r="D21" s="10" t="s">
        <v>52</v>
      </c>
      <c r="E21" s="37" t="s">
        <v>9</v>
      </c>
      <c r="F21" s="10" t="s">
        <v>155</v>
      </c>
      <c r="G21" s="21">
        <v>11.85</v>
      </c>
      <c r="H21" s="62">
        <v>1</v>
      </c>
      <c r="I21" s="70">
        <f>'2'!I21</f>
        <v>44.598373522722554</v>
      </c>
      <c r="J21" s="71">
        <f>'2'!J21</f>
        <v>181.37639861636185</v>
      </c>
      <c r="L21" s="78"/>
      <c r="M21" s="75"/>
      <c r="N21" s="78"/>
      <c r="O21" s="75"/>
    </row>
    <row r="22" spans="2:15" x14ac:dyDescent="0.25">
      <c r="B22" s="8"/>
      <c r="C22" s="9" t="s">
        <v>597</v>
      </c>
      <c r="D22" s="10" t="s">
        <v>52</v>
      </c>
      <c r="E22" s="37" t="s">
        <v>9</v>
      </c>
      <c r="F22" s="10" t="s">
        <v>155</v>
      </c>
      <c r="G22" s="21">
        <v>15.8</v>
      </c>
      <c r="H22" s="62">
        <v>1</v>
      </c>
      <c r="I22" s="70">
        <f>'2'!I22</f>
        <v>53.825623217078942</v>
      </c>
      <c r="J22" s="71">
        <f>'2'!J22</f>
        <v>238.80620018226404</v>
      </c>
      <c r="L22" s="85"/>
      <c r="M22" s="86"/>
      <c r="N22" s="85"/>
      <c r="O22" s="86"/>
    </row>
    <row r="23" spans="2:15" x14ac:dyDescent="0.25">
      <c r="B23" s="8"/>
      <c r="C23" s="9" t="s">
        <v>598</v>
      </c>
      <c r="D23" s="10" t="s">
        <v>52</v>
      </c>
      <c r="E23" s="37" t="s">
        <v>9</v>
      </c>
      <c r="F23" s="10" t="s">
        <v>155</v>
      </c>
      <c r="G23" s="21">
        <v>6.2</v>
      </c>
      <c r="H23" s="62">
        <v>1</v>
      </c>
      <c r="I23" s="70">
        <f>'2'!I23</f>
        <v>23.068124235890977</v>
      </c>
      <c r="J23" s="71">
        <f>'2'!J23</f>
        <v>101.04737237544809</v>
      </c>
      <c r="L23" s="85"/>
      <c r="M23" s="86"/>
      <c r="N23" s="85"/>
      <c r="O23" s="86"/>
    </row>
    <row r="24" spans="2:15" x14ac:dyDescent="0.25">
      <c r="B24" s="8"/>
      <c r="C24" s="9" t="s">
        <v>599</v>
      </c>
      <c r="D24" s="10" t="s">
        <v>52</v>
      </c>
      <c r="E24" s="37" t="s">
        <v>9</v>
      </c>
      <c r="F24" s="10" t="s">
        <v>155</v>
      </c>
      <c r="G24" s="21">
        <v>6.2</v>
      </c>
      <c r="H24" s="62">
        <v>1</v>
      </c>
      <c r="I24" s="70">
        <f>'2'!I24</f>
        <v>23.068124235890977</v>
      </c>
      <c r="J24" s="71">
        <f>'2'!J24</f>
        <v>115.49569270611019</v>
      </c>
      <c r="L24" s="85"/>
      <c r="M24" s="86"/>
      <c r="N24" s="85"/>
      <c r="O24" s="86"/>
    </row>
    <row r="25" spans="2:15" x14ac:dyDescent="0.25">
      <c r="B25" s="8"/>
      <c r="C25" s="127"/>
      <c r="D25" s="128"/>
      <c r="E25" s="128"/>
      <c r="F25" s="128"/>
      <c r="G25" s="128"/>
      <c r="H25" s="128"/>
      <c r="I25" s="70"/>
      <c r="J25" s="71"/>
      <c r="L25" s="85"/>
      <c r="M25" s="86"/>
      <c r="N25" s="85"/>
      <c r="O25" s="86"/>
    </row>
    <row r="26" spans="2:15" x14ac:dyDescent="0.25">
      <c r="B26" s="8"/>
      <c r="C26" s="9" t="s">
        <v>600</v>
      </c>
      <c r="D26" s="10" t="s">
        <v>10</v>
      </c>
      <c r="E26" s="37" t="s">
        <v>9</v>
      </c>
      <c r="F26" s="10" t="s">
        <v>89</v>
      </c>
      <c r="G26" s="21">
        <v>3.15</v>
      </c>
      <c r="H26" s="62">
        <v>7</v>
      </c>
      <c r="I26" s="70">
        <f>7860*O3*(2*(0.54+0.4)+2*0.1-6*0.025)*M26*2*H26</f>
        <v>78.062710203266505</v>
      </c>
      <c r="J26" s="71">
        <f>1.15*(7860*(T3*G26*O26))*H26</f>
        <v>320.58914545016262</v>
      </c>
      <c r="L26" s="78">
        <f>(G26-0.24)/0.25</f>
        <v>11.64</v>
      </c>
      <c r="M26" s="75">
        <v>13</v>
      </c>
      <c r="N26" s="78"/>
      <c r="O26" s="75">
        <f>4+4</f>
        <v>8</v>
      </c>
    </row>
    <row r="27" spans="2:15" x14ac:dyDescent="0.25">
      <c r="B27" s="8"/>
      <c r="C27" s="9" t="s">
        <v>601</v>
      </c>
      <c r="D27" s="10" t="s">
        <v>10</v>
      </c>
      <c r="E27" s="37" t="s">
        <v>9</v>
      </c>
      <c r="F27" s="10" t="s">
        <v>89</v>
      </c>
      <c r="G27" s="21">
        <v>3.15</v>
      </c>
      <c r="H27" s="62">
        <v>13</v>
      </c>
      <c r="I27" s="70">
        <f>7860*O3*(2*(0.54+0.4)+2*0.1-6*0.025)*M27*2*H27</f>
        <v>144.97360466320924</v>
      </c>
      <c r="J27" s="71">
        <f>1.15*(7860*(T3*G27*O27))*H27</f>
        <v>595.37984155030199</v>
      </c>
      <c r="L27" s="78">
        <f t="shared" ref="L27:L28" si="1">(G27-0.24)/0.25</f>
        <v>11.64</v>
      </c>
      <c r="M27" s="75">
        <v>13</v>
      </c>
      <c r="N27" s="78"/>
      <c r="O27" s="75">
        <f t="shared" ref="O27:O28" si="2">4+4</f>
        <v>8</v>
      </c>
    </row>
    <row r="28" spans="2:15" x14ac:dyDescent="0.25">
      <c r="B28" s="8"/>
      <c r="C28" s="9" t="s">
        <v>602</v>
      </c>
      <c r="D28" s="10" t="s">
        <v>10</v>
      </c>
      <c r="E28" s="37" t="s">
        <v>9</v>
      </c>
      <c r="F28" s="10" t="s">
        <v>89</v>
      </c>
      <c r="G28" s="21">
        <v>3.15</v>
      </c>
      <c r="H28" s="62">
        <v>6</v>
      </c>
      <c r="I28" s="70">
        <f>7860*O3*(2*(0.54+0.4)+2*0.1-6*0.025)*M28*2*H28</f>
        <v>66.910894459942725</v>
      </c>
      <c r="J28" s="71">
        <f>1.15*(7860*(T3*G28*O28))*H28</f>
        <v>274.79069610013937</v>
      </c>
      <c r="L28" s="78">
        <f t="shared" si="1"/>
        <v>11.64</v>
      </c>
      <c r="M28" s="75">
        <v>13</v>
      </c>
      <c r="N28" s="78"/>
      <c r="O28" s="75">
        <f t="shared" si="2"/>
        <v>8</v>
      </c>
    </row>
    <row r="29" spans="2:15" x14ac:dyDescent="0.25">
      <c r="B29" s="8"/>
      <c r="C29" s="127"/>
      <c r="D29" s="128"/>
      <c r="E29" s="128"/>
      <c r="F29" s="128"/>
      <c r="G29" s="128"/>
      <c r="H29" s="128"/>
      <c r="I29" s="70"/>
      <c r="J29" s="87"/>
      <c r="L29" s="78"/>
      <c r="M29" s="75"/>
      <c r="N29" s="78"/>
      <c r="O29" s="75"/>
    </row>
    <row r="30" spans="2:15" x14ac:dyDescent="0.25">
      <c r="B30" s="8"/>
      <c r="C30" s="95" t="s">
        <v>603</v>
      </c>
      <c r="D30" s="10" t="s">
        <v>15</v>
      </c>
      <c r="E30" s="37" t="s">
        <v>9</v>
      </c>
      <c r="F30" s="10" t="s">
        <v>16</v>
      </c>
      <c r="G30" s="38">
        <v>6.5</v>
      </c>
      <c r="H30" s="62">
        <v>1</v>
      </c>
      <c r="I30" s="107">
        <v>0</v>
      </c>
      <c r="J30" s="103">
        <f>16.4*(G30*3.14-1.22*2.26)</f>
        <v>289.50591999999995</v>
      </c>
      <c r="L30" s="78"/>
      <c r="M30" s="75"/>
      <c r="N30" s="78"/>
      <c r="O30" s="75"/>
    </row>
    <row r="31" spans="2:15" x14ac:dyDescent="0.25">
      <c r="B31" s="8"/>
      <c r="C31" s="95" t="s">
        <v>604</v>
      </c>
      <c r="D31" s="10" t="s">
        <v>15</v>
      </c>
      <c r="E31" s="37" t="s">
        <v>9</v>
      </c>
      <c r="F31" s="10" t="s">
        <v>16</v>
      </c>
      <c r="G31" s="38">
        <v>2.95</v>
      </c>
      <c r="H31" s="62">
        <v>1</v>
      </c>
      <c r="I31" s="107">
        <v>0</v>
      </c>
      <c r="J31" s="103">
        <f>16.4*(G31*3.14)</f>
        <v>151.91320000000002</v>
      </c>
      <c r="L31" s="78"/>
      <c r="M31" s="75"/>
      <c r="N31" s="78"/>
      <c r="O31" s="75"/>
    </row>
    <row r="32" spans="2:15" x14ac:dyDescent="0.25">
      <c r="B32" s="8"/>
      <c r="C32" s="95" t="s">
        <v>605</v>
      </c>
      <c r="D32" s="10" t="s">
        <v>15</v>
      </c>
      <c r="E32" s="37" t="s">
        <v>9</v>
      </c>
      <c r="F32" s="10" t="s">
        <v>16</v>
      </c>
      <c r="G32" s="38">
        <v>4.6500000000000004</v>
      </c>
      <c r="H32" s="62">
        <v>1</v>
      </c>
      <c r="I32" s="107">
        <v>0</v>
      </c>
      <c r="J32" s="103">
        <f>16.4*(G32*3.14)</f>
        <v>239.4564</v>
      </c>
      <c r="L32" s="78"/>
      <c r="M32" s="75"/>
      <c r="N32" s="78"/>
      <c r="O32" s="75"/>
    </row>
    <row r="33" spans="2:15" x14ac:dyDescent="0.25">
      <c r="B33" s="8"/>
      <c r="C33" s="95" t="s">
        <v>606</v>
      </c>
      <c r="D33" s="10" t="s">
        <v>15</v>
      </c>
      <c r="E33" s="37" t="s">
        <v>9</v>
      </c>
      <c r="F33" s="10" t="s">
        <v>16</v>
      </c>
      <c r="G33" s="39">
        <v>6.5</v>
      </c>
      <c r="H33" s="62">
        <v>1</v>
      </c>
      <c r="I33" s="107">
        <v>0</v>
      </c>
      <c r="J33" s="103">
        <f>16.4*(G33*3.14)</f>
        <v>334.72399999999999</v>
      </c>
      <c r="L33" s="78"/>
      <c r="M33" s="75"/>
      <c r="N33" s="78"/>
      <c r="O33" s="75"/>
    </row>
    <row r="34" spans="2:15" x14ac:dyDescent="0.25">
      <c r="B34" s="8"/>
      <c r="C34" s="95" t="s">
        <v>607</v>
      </c>
      <c r="D34" s="10" t="s">
        <v>15</v>
      </c>
      <c r="E34" s="37" t="s">
        <v>9</v>
      </c>
      <c r="F34" s="10" t="s">
        <v>16</v>
      </c>
      <c r="G34" s="38">
        <v>11.18</v>
      </c>
      <c r="H34" s="62">
        <v>1</v>
      </c>
      <c r="I34" s="107">
        <v>0</v>
      </c>
      <c r="J34" s="103">
        <f>16.4*(G34*3.14-1.22*2.26)</f>
        <v>530.50720000000001</v>
      </c>
      <c r="L34" s="78"/>
      <c r="M34" s="75"/>
      <c r="N34" s="78"/>
      <c r="O34" s="75"/>
    </row>
    <row r="35" spans="2:15" x14ac:dyDescent="0.25">
      <c r="B35" s="8"/>
      <c r="C35" s="95" t="s">
        <v>608</v>
      </c>
      <c r="D35" s="10" t="s">
        <v>15</v>
      </c>
      <c r="E35" s="37" t="s">
        <v>9</v>
      </c>
      <c r="F35" s="10" t="s">
        <v>16</v>
      </c>
      <c r="G35" s="38">
        <v>4.1500000000000004</v>
      </c>
      <c r="H35" s="62">
        <v>1</v>
      </c>
      <c r="I35" s="107">
        <v>0</v>
      </c>
      <c r="J35" s="103">
        <f>16.4*(G35*3.14-1.18*2.33-1.18*2.33)</f>
        <v>123.52808000000005</v>
      </c>
      <c r="L35" s="78"/>
      <c r="M35" s="75"/>
      <c r="N35" s="78"/>
      <c r="O35" s="75"/>
    </row>
    <row r="36" spans="2:15" x14ac:dyDescent="0.25">
      <c r="B36" s="8"/>
      <c r="C36" s="95" t="s">
        <v>609</v>
      </c>
      <c r="D36" s="10" t="s">
        <v>15</v>
      </c>
      <c r="E36" s="37" t="s">
        <v>9</v>
      </c>
      <c r="F36" s="10" t="s">
        <v>16</v>
      </c>
      <c r="G36" s="38">
        <v>2.2000000000000002</v>
      </c>
      <c r="H36" s="62">
        <v>1</v>
      </c>
      <c r="I36" s="107">
        <v>0</v>
      </c>
      <c r="J36" s="103">
        <f>16.4*(G36*3.14)</f>
        <v>113.29120000000002</v>
      </c>
      <c r="L36" s="78"/>
      <c r="M36" s="75"/>
      <c r="N36" s="78"/>
      <c r="O36" s="75"/>
    </row>
    <row r="37" spans="2:15" x14ac:dyDescent="0.25">
      <c r="B37" s="8"/>
      <c r="C37" s="95" t="s">
        <v>610</v>
      </c>
      <c r="D37" s="10" t="s">
        <v>15</v>
      </c>
      <c r="E37" s="37" t="s">
        <v>9</v>
      </c>
      <c r="F37" s="10" t="s">
        <v>16</v>
      </c>
      <c r="G37" s="38">
        <v>2.2000000000000002</v>
      </c>
      <c r="H37" s="62">
        <v>1</v>
      </c>
      <c r="I37" s="107">
        <v>0</v>
      </c>
      <c r="J37" s="103">
        <f>16.4*(G37*3.14)</f>
        <v>113.29120000000002</v>
      </c>
      <c r="L37" s="78"/>
      <c r="M37" s="75"/>
      <c r="N37" s="78"/>
      <c r="O37" s="75"/>
    </row>
    <row r="38" spans="2:15" x14ac:dyDescent="0.25">
      <c r="B38" s="8"/>
      <c r="C38" s="95" t="s">
        <v>611</v>
      </c>
      <c r="D38" s="10" t="s">
        <v>15</v>
      </c>
      <c r="E38" s="37" t="s">
        <v>9</v>
      </c>
      <c r="F38" s="10" t="s">
        <v>16</v>
      </c>
      <c r="G38" s="38">
        <v>9.24</v>
      </c>
      <c r="H38" s="62">
        <v>1</v>
      </c>
      <c r="I38" s="107">
        <v>0</v>
      </c>
      <c r="J38" s="103">
        <f>16.4*(G38*3.14-1.7*3.14)</f>
        <v>388.27983999999998</v>
      </c>
      <c r="L38" s="78"/>
      <c r="M38" s="75"/>
      <c r="N38" s="78"/>
      <c r="O38" s="75"/>
    </row>
    <row r="39" spans="2:15" x14ac:dyDescent="0.25">
      <c r="B39" s="8"/>
      <c r="C39" s="95" t="s">
        <v>612</v>
      </c>
      <c r="D39" s="10" t="s">
        <v>15</v>
      </c>
      <c r="E39" s="37" t="s">
        <v>9</v>
      </c>
      <c r="F39" s="10" t="s">
        <v>16</v>
      </c>
      <c r="G39" s="38">
        <v>6.5</v>
      </c>
      <c r="H39" s="62">
        <v>1</v>
      </c>
      <c r="I39" s="107">
        <v>0</v>
      </c>
      <c r="J39" s="103">
        <f>16.4*(G39*3.14-1*2.23)</f>
        <v>298.15199999999999</v>
      </c>
      <c r="L39" s="78"/>
      <c r="M39" s="75"/>
      <c r="N39" s="78"/>
      <c r="O39" s="75"/>
    </row>
    <row r="40" spans="2:15" x14ac:dyDescent="0.25">
      <c r="B40" s="8"/>
      <c r="C40" s="95" t="s">
        <v>613</v>
      </c>
      <c r="D40" s="10" t="s">
        <v>15</v>
      </c>
      <c r="E40" s="37" t="s">
        <v>9</v>
      </c>
      <c r="F40" s="10" t="s">
        <v>16</v>
      </c>
      <c r="G40" s="38">
        <v>6.5</v>
      </c>
      <c r="H40" s="62">
        <v>1</v>
      </c>
      <c r="I40" s="107">
        <v>0</v>
      </c>
      <c r="J40" s="103">
        <f>16.4*(G40*3.14-0.9*2.23*4)</f>
        <v>203.06479999999999</v>
      </c>
      <c r="L40" s="78"/>
      <c r="M40" s="75"/>
      <c r="N40" s="78"/>
      <c r="O40" s="75"/>
    </row>
    <row r="41" spans="2:15" x14ac:dyDescent="0.25">
      <c r="B41" s="8"/>
      <c r="C41" s="127"/>
      <c r="D41" s="128"/>
      <c r="E41" s="128"/>
      <c r="F41" s="128"/>
      <c r="G41" s="128"/>
      <c r="H41" s="128"/>
      <c r="I41" s="70"/>
      <c r="J41" s="87"/>
      <c r="L41" s="78"/>
      <c r="M41" s="75"/>
      <c r="N41" s="78"/>
      <c r="O41" s="75"/>
    </row>
    <row r="42" spans="2:15" x14ac:dyDescent="0.25">
      <c r="B42" s="8"/>
      <c r="C42" s="9" t="s">
        <v>614</v>
      </c>
      <c r="D42" s="10" t="s">
        <v>17</v>
      </c>
      <c r="E42" s="37" t="s">
        <v>9</v>
      </c>
      <c r="F42" s="10" t="s">
        <v>60</v>
      </c>
      <c r="G42" s="40" t="s">
        <v>8</v>
      </c>
      <c r="H42" s="62">
        <v>1</v>
      </c>
      <c r="I42" s="70">
        <v>0</v>
      </c>
      <c r="J42" s="71">
        <f>1.15*(6328+177+116+61+59+4339+13+54+63+30+183+50+43+161+36+41+391+61+118+278+148+52+19+70+11+277+28+296+14+15+28+324)</f>
        <v>15966.599999999999</v>
      </c>
      <c r="L42" s="78"/>
      <c r="M42" s="75"/>
      <c r="N42" s="78"/>
      <c r="O42" s="75"/>
    </row>
    <row r="43" spans="2:15" x14ac:dyDescent="0.25">
      <c r="B43" s="8"/>
      <c r="C43" s="127"/>
      <c r="D43" s="128"/>
      <c r="E43" s="128"/>
      <c r="F43" s="128"/>
      <c r="G43" s="128"/>
      <c r="H43" s="128"/>
      <c r="I43" s="70"/>
      <c r="J43" s="71"/>
      <c r="L43" s="78"/>
      <c r="M43" s="75"/>
      <c r="N43" s="78"/>
      <c r="O43" s="75"/>
    </row>
    <row r="44" spans="2:15" x14ac:dyDescent="0.25">
      <c r="B44" s="8"/>
      <c r="C44" s="9" t="s">
        <v>615</v>
      </c>
      <c r="D44" s="10" t="s">
        <v>193</v>
      </c>
      <c r="E44" s="37" t="s">
        <v>9</v>
      </c>
      <c r="F44" s="10" t="s">
        <v>194</v>
      </c>
      <c r="G44" s="40" t="s">
        <v>8</v>
      </c>
      <c r="H44" s="62">
        <v>1</v>
      </c>
      <c r="I44" s="70">
        <v>0</v>
      </c>
      <c r="J44" s="71">
        <f>1.15*(98+282)</f>
        <v>436.99999999999994</v>
      </c>
      <c r="L44" s="78"/>
      <c r="M44" s="75"/>
      <c r="N44" s="78"/>
      <c r="O44" s="75"/>
    </row>
    <row r="45" spans="2:15" x14ac:dyDescent="0.25">
      <c r="B45" s="8"/>
      <c r="C45" s="9" t="s">
        <v>616</v>
      </c>
      <c r="D45" s="10" t="s">
        <v>193</v>
      </c>
      <c r="E45" s="37" t="s">
        <v>9</v>
      </c>
      <c r="F45" s="10" t="s">
        <v>194</v>
      </c>
      <c r="G45" s="40" t="s">
        <v>8</v>
      </c>
      <c r="H45" s="62">
        <v>1</v>
      </c>
      <c r="I45" s="70">
        <v>0</v>
      </c>
      <c r="J45" s="71">
        <f>1.15*(115+332)</f>
        <v>514.04999999999995</v>
      </c>
      <c r="L45" s="78"/>
      <c r="M45" s="75"/>
      <c r="N45" s="78"/>
      <c r="O45" s="75"/>
    </row>
    <row r="46" spans="2:15" x14ac:dyDescent="0.25">
      <c r="B46" s="8"/>
      <c r="C46" s="9" t="s">
        <v>617</v>
      </c>
      <c r="D46" s="10" t="s">
        <v>193</v>
      </c>
      <c r="E46" s="37" t="s">
        <v>9</v>
      </c>
      <c r="F46" s="10" t="s">
        <v>194</v>
      </c>
      <c r="G46" s="40" t="s">
        <v>8</v>
      </c>
      <c r="H46" s="62">
        <v>1</v>
      </c>
      <c r="I46" s="70">
        <v>0</v>
      </c>
      <c r="J46" s="71">
        <f>1.15*(84+151)</f>
        <v>270.25</v>
      </c>
      <c r="L46" s="78"/>
      <c r="M46" s="75"/>
      <c r="N46" s="78"/>
      <c r="O46" s="75"/>
    </row>
    <row r="47" spans="2:15" x14ac:dyDescent="0.25">
      <c r="B47" s="8"/>
      <c r="C47" s="9" t="s">
        <v>618</v>
      </c>
      <c r="D47" s="10" t="s">
        <v>193</v>
      </c>
      <c r="E47" s="37" t="s">
        <v>9</v>
      </c>
      <c r="F47" s="10" t="s">
        <v>194</v>
      </c>
      <c r="G47" s="40" t="s">
        <v>8</v>
      </c>
      <c r="H47" s="62">
        <v>1</v>
      </c>
      <c r="I47" s="70">
        <v>0</v>
      </c>
      <c r="J47" s="71">
        <f>1.15*(75+136)</f>
        <v>242.64999999999998</v>
      </c>
      <c r="L47" s="78"/>
      <c r="M47" s="75"/>
      <c r="N47" s="78"/>
      <c r="O47" s="75"/>
    </row>
    <row r="48" spans="2:15" x14ac:dyDescent="0.25">
      <c r="B48" s="8"/>
      <c r="C48" s="9" t="s">
        <v>619</v>
      </c>
      <c r="D48" s="10" t="s">
        <v>193</v>
      </c>
      <c r="E48" s="37" t="s">
        <v>9</v>
      </c>
      <c r="F48" s="10" t="s">
        <v>194</v>
      </c>
      <c r="G48" s="40" t="s">
        <v>8</v>
      </c>
      <c r="H48" s="62">
        <v>1</v>
      </c>
      <c r="I48" s="70">
        <v>0</v>
      </c>
      <c r="J48" s="71">
        <f>1.15*(83+240)</f>
        <v>371.45</v>
      </c>
      <c r="L48" s="78"/>
      <c r="M48" s="75"/>
      <c r="N48" s="78"/>
      <c r="O48" s="75"/>
    </row>
    <row r="49" spans="2:23" x14ac:dyDescent="0.25">
      <c r="B49" s="8"/>
      <c r="C49" s="9" t="s">
        <v>620</v>
      </c>
      <c r="D49" s="10" t="s">
        <v>193</v>
      </c>
      <c r="E49" s="37" t="s">
        <v>9</v>
      </c>
      <c r="F49" s="10" t="s">
        <v>194</v>
      </c>
      <c r="G49" s="40" t="s">
        <v>8</v>
      </c>
      <c r="H49" s="62">
        <v>1</v>
      </c>
      <c r="I49" s="70">
        <v>0</v>
      </c>
      <c r="J49" s="71">
        <f>1.15*(84+151)</f>
        <v>270.25</v>
      </c>
      <c r="L49" s="78"/>
      <c r="M49" s="75"/>
      <c r="N49" s="78"/>
      <c r="O49" s="75"/>
    </row>
    <row r="50" spans="2:23" x14ac:dyDescent="0.25">
      <c r="B50" s="8"/>
      <c r="C50" s="9" t="s">
        <v>621</v>
      </c>
      <c r="D50" s="10" t="s">
        <v>193</v>
      </c>
      <c r="E50" s="37" t="s">
        <v>9</v>
      </c>
      <c r="F50" s="10" t="s">
        <v>194</v>
      </c>
      <c r="G50" s="40" t="s">
        <v>8</v>
      </c>
      <c r="H50" s="62">
        <v>1</v>
      </c>
      <c r="I50" s="70">
        <v>0</v>
      </c>
      <c r="J50" s="71">
        <f>1.15*(84+242)</f>
        <v>374.9</v>
      </c>
      <c r="L50" s="78"/>
      <c r="M50" s="75"/>
      <c r="N50" s="78"/>
      <c r="O50" s="75"/>
    </row>
    <row r="51" spans="2:23" x14ac:dyDescent="0.25">
      <c r="B51" s="8"/>
      <c r="C51" s="127"/>
      <c r="D51" s="128"/>
      <c r="E51" s="128"/>
      <c r="F51" s="128"/>
      <c r="G51" s="128"/>
      <c r="H51" s="128"/>
      <c r="I51" s="70"/>
      <c r="J51" s="87"/>
      <c r="L51" s="78"/>
      <c r="M51" s="75"/>
      <c r="N51" s="78"/>
      <c r="O51" s="75"/>
    </row>
    <row r="52" spans="2:23" ht="30" x14ac:dyDescent="0.25">
      <c r="B52" s="8"/>
      <c r="C52" s="41" t="s">
        <v>622</v>
      </c>
      <c r="D52" s="10" t="s">
        <v>56</v>
      </c>
      <c r="E52" s="37" t="s">
        <v>9</v>
      </c>
      <c r="F52" s="97" t="s">
        <v>350</v>
      </c>
      <c r="G52" s="40" t="s">
        <v>8</v>
      </c>
      <c r="H52" s="117">
        <v>1</v>
      </c>
      <c r="I52" s="70">
        <f>7860*(O3*(1.32-2*0.025)*(M52+Q52))*1.5+7860*(O3*(0.78-2*0.025)*U52)*2</f>
        <v>16.594381856396716</v>
      </c>
      <c r="J52" s="71">
        <f>1.15*(7860*(Q3*(3.33+3.26)*O52))*1.5+1.15*(7860*(R3*2.64*W52))*2</f>
        <v>125.23439446986916</v>
      </c>
      <c r="L52" s="85">
        <f>3.33/0.25</f>
        <v>13.32</v>
      </c>
      <c r="M52" s="86">
        <v>15</v>
      </c>
      <c r="N52" s="85">
        <f>(1.32-2*0.025)/0.1</f>
        <v>12.7</v>
      </c>
      <c r="O52" s="86">
        <v>14</v>
      </c>
      <c r="P52" s="6">
        <f>3.26/0.25</f>
        <v>13.04</v>
      </c>
      <c r="Q52" s="6">
        <v>15</v>
      </c>
      <c r="T52" s="6">
        <f>(2.64-2*0.025)/0.25</f>
        <v>10.360000000000001</v>
      </c>
      <c r="U52" s="6">
        <v>12</v>
      </c>
      <c r="V52">
        <f>(0.78-2*0.025)/0.2</f>
        <v>3.65</v>
      </c>
      <c r="W52">
        <v>5</v>
      </c>
    </row>
    <row r="53" spans="2:23" x14ac:dyDescent="0.25">
      <c r="B53" s="8"/>
      <c r="C53" s="9" t="s">
        <v>623</v>
      </c>
      <c r="D53" s="10" t="s">
        <v>63</v>
      </c>
      <c r="E53" s="37" t="s">
        <v>9</v>
      </c>
      <c r="F53" s="10" t="s">
        <v>190</v>
      </c>
      <c r="G53" s="38">
        <v>3.14</v>
      </c>
      <c r="H53" s="111">
        <v>1</v>
      </c>
      <c r="I53" s="70">
        <f>7860*O3*(2*(0.24+0.38)+2*0.1-8*0.025)*M53</f>
        <v>5.2358863872600327</v>
      </c>
      <c r="J53" s="71">
        <f>1.15*(7860*(T3*G53*O53))+1.15*(7860*(R3*G53*Q53))</f>
        <v>17.833225565361232</v>
      </c>
      <c r="L53" s="85">
        <f>(G53-2*0.25)/0.15</f>
        <v>17.600000000000001</v>
      </c>
      <c r="M53" s="86">
        <v>19</v>
      </c>
      <c r="N53" s="85"/>
      <c r="O53" s="86">
        <f>2</f>
        <v>2</v>
      </c>
      <c r="P53" s="6"/>
      <c r="Q53" s="6">
        <f>2</f>
        <v>2</v>
      </c>
    </row>
    <row r="54" spans="2:23" x14ac:dyDescent="0.25">
      <c r="B54" s="8"/>
      <c r="C54" s="9" t="s">
        <v>624</v>
      </c>
      <c r="D54" s="10" t="s">
        <v>63</v>
      </c>
      <c r="E54" s="37" t="s">
        <v>9</v>
      </c>
      <c r="F54" s="10" t="s">
        <v>191</v>
      </c>
      <c r="G54" s="101">
        <v>2.64</v>
      </c>
      <c r="H54" s="111">
        <v>1</v>
      </c>
      <c r="I54" s="70">
        <f>7860*O3*(2*(0.54+0.2)+2*0.1-6*0.025)*M54*2</f>
        <v>12.920816407270724</v>
      </c>
      <c r="J54" s="71">
        <f>1.15*(7860*(R3*G54*O54))</f>
        <v>29.687209132247208</v>
      </c>
      <c r="L54" s="85">
        <f>(G54)/0.15</f>
        <v>17.600000000000001</v>
      </c>
      <c r="M54" s="86">
        <v>19</v>
      </c>
      <c r="N54" s="85"/>
      <c r="O54" s="86">
        <f>4+7</f>
        <v>11</v>
      </c>
    </row>
    <row r="55" spans="2:23" x14ac:dyDescent="0.25">
      <c r="B55" s="8"/>
      <c r="C55" s="155"/>
      <c r="D55" s="156"/>
      <c r="E55" s="156"/>
      <c r="F55" s="156"/>
      <c r="G55" s="156"/>
      <c r="H55" s="156"/>
      <c r="I55" s="70"/>
      <c r="J55" s="71"/>
      <c r="L55" s="85"/>
      <c r="M55" s="86"/>
      <c r="N55" s="85"/>
      <c r="O55" s="86"/>
    </row>
    <row r="56" spans="2:23" ht="45.75" thickBot="1" x14ac:dyDescent="0.3">
      <c r="B56" s="8"/>
      <c r="C56" s="51" t="s">
        <v>625</v>
      </c>
      <c r="D56" s="42" t="s">
        <v>444</v>
      </c>
      <c r="E56" s="43" t="s">
        <v>445</v>
      </c>
      <c r="F56" s="43" t="s">
        <v>456</v>
      </c>
      <c r="G56" s="44">
        <v>3.65</v>
      </c>
      <c r="H56" s="118">
        <v>1</v>
      </c>
      <c r="I56" s="72"/>
      <c r="J56" s="73"/>
      <c r="L56" s="90"/>
      <c r="M56" s="91"/>
      <c r="N56" s="90"/>
      <c r="O56" s="91"/>
    </row>
    <row r="57" spans="2:23" ht="15.75" thickBot="1" x14ac:dyDescent="0.3">
      <c r="B57" s="8"/>
      <c r="C57" s="126" t="s">
        <v>648</v>
      </c>
      <c r="D57" s="126"/>
      <c r="E57" s="126"/>
      <c r="F57" s="126"/>
      <c r="G57" s="126"/>
      <c r="H57" s="126"/>
      <c r="I57" s="119">
        <f>SUM(I7:I56)</f>
        <v>765.46392171845673</v>
      </c>
      <c r="J57" s="120">
        <f>SUM(J7:J56)</f>
        <v>24492.883961558018</v>
      </c>
      <c r="L57" s="5"/>
    </row>
  </sheetData>
  <mergeCells count="13">
    <mergeCell ref="I4:J4"/>
    <mergeCell ref="C57:H57"/>
    <mergeCell ref="C29:H29"/>
    <mergeCell ref="C41:H41"/>
    <mergeCell ref="C43:H43"/>
    <mergeCell ref="C51:H51"/>
    <mergeCell ref="C55:H55"/>
    <mergeCell ref="C25:H25"/>
    <mergeCell ref="C4:H4"/>
    <mergeCell ref="C6:H6"/>
    <mergeCell ref="C8:H8"/>
    <mergeCell ref="C12:H12"/>
    <mergeCell ref="C14:H14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B4684-8546-46BB-82D4-EC0E7BCA08E9}">
  <dimension ref="B1:W57"/>
  <sheetViews>
    <sheetView topLeftCell="A29" workbookViewId="0">
      <selection activeCell="J57" sqref="J57"/>
    </sheetView>
  </sheetViews>
  <sheetFormatPr defaultRowHeight="15" x14ac:dyDescent="0.25"/>
  <cols>
    <col min="3" max="3" width="13.5703125" customWidth="1"/>
    <col min="4" max="4" width="18.5703125" customWidth="1"/>
    <col min="5" max="5" width="17.140625" customWidth="1"/>
    <col min="6" max="6" width="15.7109375" customWidth="1"/>
    <col min="9" max="10" width="14.28515625" customWidth="1"/>
    <col min="12" max="12" width="9.5703125" bestFit="1" customWidth="1"/>
  </cols>
  <sheetData>
    <row r="1" spans="2:22" x14ac:dyDescent="0.25">
      <c r="B1" s="8"/>
      <c r="C1" s="32"/>
      <c r="D1" s="33"/>
      <c r="E1" s="34"/>
      <c r="F1" s="33"/>
      <c r="G1" s="35"/>
      <c r="H1" s="32"/>
    </row>
    <row r="2" spans="2:22" x14ac:dyDescent="0.25">
      <c r="B2" s="8"/>
      <c r="C2" s="32"/>
      <c r="D2" s="33"/>
      <c r="E2" s="34"/>
      <c r="F2" s="33"/>
      <c r="G2" s="35"/>
      <c r="H2" s="32"/>
      <c r="O2" s="67" t="str">
        <f>F!O2</f>
        <v>6 [m2]</v>
      </c>
      <c r="P2" s="67" t="str">
        <f>F!P2</f>
        <v>8 [m2]</v>
      </c>
      <c r="Q2" s="67" t="str">
        <f>F!Q2</f>
        <v>10 [m2]</v>
      </c>
      <c r="R2" s="67" t="str">
        <f>F!R2</f>
        <v>12 [m2]</v>
      </c>
      <c r="S2" s="67" t="str">
        <f>F!S2</f>
        <v>14 [m2]</v>
      </c>
      <c r="T2" s="67" t="str">
        <f>F!T2</f>
        <v>16 [m2]</v>
      </c>
      <c r="U2" s="67" t="str">
        <f>F!U2</f>
        <v>20 [m2]</v>
      </c>
      <c r="V2" s="67" t="str">
        <f>F!V2</f>
        <v>24 [m2]</v>
      </c>
    </row>
    <row r="3" spans="2:22" ht="15.75" thickBot="1" x14ac:dyDescent="0.3">
      <c r="B3" s="8"/>
      <c r="C3" s="32"/>
      <c r="D3" s="33"/>
      <c r="E3" s="34"/>
      <c r="F3" s="33"/>
      <c r="G3" s="35"/>
      <c r="H3" s="32"/>
      <c r="O3" s="67">
        <f>F!O3</f>
        <v>2.8274333882308137E-5</v>
      </c>
      <c r="P3" s="67">
        <f>F!P3</f>
        <v>5.0265482457436686E-5</v>
      </c>
      <c r="Q3" s="67">
        <f>F!Q3</f>
        <v>7.8539816339744827E-5</v>
      </c>
      <c r="R3" s="67">
        <f>F!R3</f>
        <v>1.1309733552923255E-4</v>
      </c>
      <c r="S3" s="67">
        <f>F!S3</f>
        <v>1.5393804002589989E-4</v>
      </c>
      <c r="T3" s="67">
        <f>F!T3</f>
        <v>2.0106192982974675E-4</v>
      </c>
      <c r="U3" s="67">
        <f>F!U3</f>
        <v>3.1415926535897931E-4</v>
      </c>
      <c r="V3" s="67">
        <f>F!V3</f>
        <v>4.523893421169302E-4</v>
      </c>
    </row>
    <row r="4" spans="2:22" ht="15.75" thickBot="1" x14ac:dyDescent="0.3">
      <c r="B4" s="8"/>
      <c r="C4" s="161" t="s">
        <v>3</v>
      </c>
      <c r="D4" s="162"/>
      <c r="E4" s="162"/>
      <c r="F4" s="162"/>
      <c r="G4" s="162"/>
      <c r="H4" s="163"/>
      <c r="I4" s="124" t="s">
        <v>647</v>
      </c>
      <c r="J4" s="125"/>
      <c r="L4" s="2" t="s">
        <v>459</v>
      </c>
    </row>
    <row r="5" spans="2:22" ht="26.25" thickBot="1" x14ac:dyDescent="0.3">
      <c r="B5" s="8"/>
      <c r="C5" s="53" t="s">
        <v>2</v>
      </c>
      <c r="D5" s="52" t="s">
        <v>0</v>
      </c>
      <c r="E5" s="52" t="s">
        <v>4</v>
      </c>
      <c r="F5" s="52" t="s">
        <v>5</v>
      </c>
      <c r="G5" s="52" t="s">
        <v>1</v>
      </c>
      <c r="H5" s="54" t="s">
        <v>6</v>
      </c>
      <c r="I5" s="98" t="s">
        <v>649</v>
      </c>
      <c r="J5" s="99" t="s">
        <v>650</v>
      </c>
      <c r="L5" s="2"/>
    </row>
    <row r="6" spans="2:22" x14ac:dyDescent="0.25">
      <c r="B6" s="8"/>
      <c r="C6" s="145"/>
      <c r="D6" s="146"/>
      <c r="E6" s="146"/>
      <c r="F6" s="146"/>
      <c r="G6" s="146"/>
      <c r="H6" s="147"/>
      <c r="I6" s="68"/>
      <c r="J6" s="69"/>
    </row>
    <row r="7" spans="2:22" ht="30" x14ac:dyDescent="0.25">
      <c r="B7" s="8"/>
      <c r="C7" s="14" t="s">
        <v>503</v>
      </c>
      <c r="D7" s="37" t="s">
        <v>165</v>
      </c>
      <c r="E7" s="11" t="s">
        <v>8</v>
      </c>
      <c r="F7" s="10" t="s">
        <v>269</v>
      </c>
      <c r="G7" s="38">
        <v>1.4</v>
      </c>
      <c r="H7" s="110">
        <v>5</v>
      </c>
      <c r="I7" s="70"/>
      <c r="J7" s="71"/>
      <c r="L7" s="83"/>
      <c r="M7" s="84"/>
      <c r="N7" s="83"/>
      <c r="O7" s="84"/>
    </row>
    <row r="8" spans="2:22" x14ac:dyDescent="0.25">
      <c r="B8" s="8"/>
      <c r="C8" s="142"/>
      <c r="D8" s="143"/>
      <c r="E8" s="143"/>
      <c r="F8" s="143"/>
      <c r="G8" s="143"/>
      <c r="H8" s="144"/>
      <c r="I8" s="70"/>
      <c r="J8" s="71"/>
      <c r="L8" s="78"/>
      <c r="M8" s="75"/>
      <c r="N8" s="78"/>
      <c r="O8" s="75"/>
    </row>
    <row r="9" spans="2:22" x14ac:dyDescent="0.25">
      <c r="B9" s="8"/>
      <c r="C9" s="14" t="s">
        <v>504</v>
      </c>
      <c r="D9" s="37" t="s">
        <v>266</v>
      </c>
      <c r="E9" s="37" t="s">
        <v>9</v>
      </c>
      <c r="F9" s="10" t="s">
        <v>64</v>
      </c>
      <c r="G9" s="38">
        <v>2.2000000000000002</v>
      </c>
      <c r="H9" s="110">
        <v>1</v>
      </c>
      <c r="I9" s="70">
        <f>7860*O3*(2*(0.25+0.3)+2*0.1-8*0.025)*M9*H9</f>
        <v>2.4445989074643619</v>
      </c>
      <c r="J9" s="71">
        <f>1.15*(7860*(R3*G9*O9))*H9</f>
        <v>8.9961239794688499</v>
      </c>
      <c r="L9" s="85">
        <f>(G9-0.5)/0.2</f>
        <v>8.5</v>
      </c>
      <c r="M9" s="86">
        <v>10</v>
      </c>
      <c r="N9" s="85"/>
      <c r="O9" s="86">
        <f>2+2</f>
        <v>4</v>
      </c>
    </row>
    <row r="10" spans="2:22" x14ac:dyDescent="0.25">
      <c r="B10" s="8"/>
      <c r="C10" s="14" t="s">
        <v>505</v>
      </c>
      <c r="D10" s="37" t="s">
        <v>266</v>
      </c>
      <c r="E10" s="37" t="s">
        <v>9</v>
      </c>
      <c r="F10" s="10" t="s">
        <v>264</v>
      </c>
      <c r="G10" s="38">
        <v>1.5</v>
      </c>
      <c r="H10" s="110">
        <v>1</v>
      </c>
      <c r="I10" s="70">
        <f>7860*O3*(2*(0.24+0.24)+2*0.1-8*0.025)*M10*H10</f>
        <v>1.7067745099387541</v>
      </c>
      <c r="J10" s="71">
        <f>1.15*(7860*(R3*G10*O10))*H10</f>
        <v>6.1337208950923978</v>
      </c>
      <c r="L10" s="85">
        <f>(G10-0.5)/0.15</f>
        <v>6.666666666666667</v>
      </c>
      <c r="M10" s="86">
        <v>8</v>
      </c>
      <c r="N10" s="85"/>
      <c r="O10" s="86">
        <f t="shared" ref="O10:O11" si="0">2+2</f>
        <v>4</v>
      </c>
    </row>
    <row r="11" spans="2:22" x14ac:dyDescent="0.25">
      <c r="B11" s="8"/>
      <c r="C11" s="9" t="s">
        <v>506</v>
      </c>
      <c r="D11" s="37" t="s">
        <v>266</v>
      </c>
      <c r="E11" s="37" t="s">
        <v>9</v>
      </c>
      <c r="F11" s="10" t="s">
        <v>264</v>
      </c>
      <c r="G11" s="38">
        <v>1.75</v>
      </c>
      <c r="H11" s="110">
        <v>1</v>
      </c>
      <c r="I11" s="70">
        <f>7860*O3*(2*(0.24+0.24)+2*0.1-8*0.025)*M11*H11</f>
        <v>2.1334681374234425</v>
      </c>
      <c r="J11" s="71">
        <f>1.15*(7860*(R3*G11*O11))*H11</f>
        <v>7.1560077109411298</v>
      </c>
      <c r="L11" s="85">
        <f>(G11-0.5)/0.15</f>
        <v>8.3333333333333339</v>
      </c>
      <c r="M11" s="86">
        <v>10</v>
      </c>
      <c r="N11" s="85"/>
      <c r="O11" s="86">
        <f t="shared" si="0"/>
        <v>4</v>
      </c>
    </row>
    <row r="12" spans="2:22" x14ac:dyDescent="0.25">
      <c r="B12" s="8"/>
      <c r="C12" s="142"/>
      <c r="D12" s="143"/>
      <c r="E12" s="143"/>
      <c r="F12" s="143"/>
      <c r="G12" s="143"/>
      <c r="H12" s="144"/>
      <c r="I12" s="70"/>
      <c r="J12" s="71"/>
      <c r="L12" s="85"/>
      <c r="M12" s="86"/>
      <c r="N12" s="85"/>
      <c r="O12" s="86"/>
    </row>
    <row r="13" spans="2:22" x14ac:dyDescent="0.25">
      <c r="B13" s="8"/>
      <c r="C13" s="9" t="s">
        <v>507</v>
      </c>
      <c r="D13" s="10" t="s">
        <v>7</v>
      </c>
      <c r="E13" s="37" t="s">
        <v>9</v>
      </c>
      <c r="F13" s="10" t="s">
        <v>270</v>
      </c>
      <c r="G13" s="20">
        <v>2.2000000000000002</v>
      </c>
      <c r="H13" s="62">
        <v>1</v>
      </c>
      <c r="I13" s="93">
        <f>7860*O3*(2*(0.16+0.35)+2*0.1-6*0.025)*M13*2</f>
        <v>6.1826128732416841</v>
      </c>
      <c r="J13" s="87">
        <f>1.15*(7860*(T3*G13*O13))</f>
        <v>31.986218593667022</v>
      </c>
      <c r="L13" s="78">
        <f>(G13-2*0.25)/0.15</f>
        <v>11.333333333333336</v>
      </c>
      <c r="M13" s="75">
        <v>13</v>
      </c>
      <c r="N13" s="78"/>
      <c r="O13" s="75">
        <f>4+4</f>
        <v>8</v>
      </c>
    </row>
    <row r="14" spans="2:22" x14ac:dyDescent="0.25">
      <c r="B14" s="8"/>
      <c r="C14" s="142"/>
      <c r="D14" s="143"/>
      <c r="E14" s="143"/>
      <c r="F14" s="143"/>
      <c r="G14" s="143"/>
      <c r="H14" s="144"/>
      <c r="I14" s="70"/>
      <c r="J14" s="71"/>
      <c r="L14" s="85"/>
      <c r="M14" s="86"/>
      <c r="N14" s="85"/>
      <c r="O14" s="86"/>
    </row>
    <row r="15" spans="2:22" x14ac:dyDescent="0.25">
      <c r="B15" s="8"/>
      <c r="C15" s="9" t="s">
        <v>508</v>
      </c>
      <c r="D15" s="10" t="s">
        <v>52</v>
      </c>
      <c r="E15" s="37" t="s">
        <v>9</v>
      </c>
      <c r="F15" s="10" t="s">
        <v>155</v>
      </c>
      <c r="G15" s="21">
        <v>6.5</v>
      </c>
      <c r="H15" s="62">
        <v>1</v>
      </c>
      <c r="I15" s="70">
        <f>'2'!I15</f>
        <v>24.605999184950374</v>
      </c>
      <c r="J15" s="71">
        <f>'2'!J15</f>
        <v>105.4091294564027</v>
      </c>
      <c r="L15" s="85"/>
      <c r="M15" s="86"/>
      <c r="N15" s="85"/>
      <c r="O15" s="86"/>
    </row>
    <row r="16" spans="2:22" x14ac:dyDescent="0.25">
      <c r="B16" s="8"/>
      <c r="C16" s="9" t="s">
        <v>509</v>
      </c>
      <c r="D16" s="10" t="s">
        <v>52</v>
      </c>
      <c r="E16" s="37" t="s">
        <v>9</v>
      </c>
      <c r="F16" s="10" t="s">
        <v>155</v>
      </c>
      <c r="G16" s="21">
        <v>9.4499999999999993</v>
      </c>
      <c r="H16" s="62">
        <v>1</v>
      </c>
      <c r="I16" s="70">
        <f>'2'!I16</f>
        <v>32.295373930247365</v>
      </c>
      <c r="J16" s="71">
        <f>'2'!J16</f>
        <v>137.39534805006969</v>
      </c>
      <c r="L16" s="85"/>
      <c r="M16" s="86"/>
      <c r="N16" s="85"/>
      <c r="O16" s="86"/>
    </row>
    <row r="17" spans="2:15" x14ac:dyDescent="0.25">
      <c r="B17" s="8"/>
      <c r="C17" s="9" t="s">
        <v>510</v>
      </c>
      <c r="D17" s="10" t="s">
        <v>52</v>
      </c>
      <c r="E17" s="37" t="s">
        <v>9</v>
      </c>
      <c r="F17" s="10" t="s">
        <v>155</v>
      </c>
      <c r="G17" s="21">
        <v>11.9</v>
      </c>
      <c r="H17" s="62">
        <v>1</v>
      </c>
      <c r="I17" s="70">
        <f>'2'!I17</f>
        <v>44.598373522722554</v>
      </c>
      <c r="J17" s="71">
        <f>'2'!J17</f>
        <v>187.21479220909796</v>
      </c>
      <c r="L17" s="78"/>
      <c r="M17" s="75"/>
      <c r="N17" s="78"/>
      <c r="O17" s="75"/>
    </row>
    <row r="18" spans="2:15" x14ac:dyDescent="0.25">
      <c r="B18" s="8"/>
      <c r="C18" s="9" t="s">
        <v>511</v>
      </c>
      <c r="D18" s="10" t="s">
        <v>52</v>
      </c>
      <c r="E18" s="37" t="s">
        <v>9</v>
      </c>
      <c r="F18" s="10" t="s">
        <v>155</v>
      </c>
      <c r="G18" s="21">
        <v>22.1</v>
      </c>
      <c r="H18" s="62">
        <v>1</v>
      </c>
      <c r="I18" s="70">
        <f>'2'!I18</f>
        <v>76.124809978440226</v>
      </c>
      <c r="J18" s="71">
        <f>'2'!J18</f>
        <v>294.41860296443514</v>
      </c>
      <c r="L18" s="78"/>
      <c r="M18" s="75"/>
      <c r="N18" s="78"/>
      <c r="O18" s="75"/>
    </row>
    <row r="19" spans="2:15" x14ac:dyDescent="0.25">
      <c r="B19" s="8"/>
      <c r="C19" s="9" t="s">
        <v>512</v>
      </c>
      <c r="D19" s="10" t="s">
        <v>52</v>
      </c>
      <c r="E19" s="37" t="s">
        <v>9</v>
      </c>
      <c r="F19" s="10" t="s">
        <v>155</v>
      </c>
      <c r="G19" s="21">
        <v>18.149999999999999</v>
      </c>
      <c r="H19" s="62">
        <v>1</v>
      </c>
      <c r="I19" s="70">
        <f>'2'!I19</f>
        <v>67.666497758613531</v>
      </c>
      <c r="J19" s="71">
        <f>'2'!J19</f>
        <v>311.25225919874418</v>
      </c>
      <c r="L19" s="78"/>
      <c r="M19" s="75"/>
      <c r="N19" s="78"/>
      <c r="O19" s="75"/>
    </row>
    <row r="20" spans="2:15" x14ac:dyDescent="0.25">
      <c r="B20" s="8"/>
      <c r="C20" s="9" t="s">
        <v>513</v>
      </c>
      <c r="D20" s="10" t="s">
        <v>52</v>
      </c>
      <c r="E20" s="37" t="s">
        <v>9</v>
      </c>
      <c r="F20" s="10" t="s">
        <v>155</v>
      </c>
      <c r="G20" s="21">
        <v>11.18</v>
      </c>
      <c r="H20" s="62">
        <v>1</v>
      </c>
      <c r="I20" s="70">
        <f>'2'!I20</f>
        <v>38.446873726484959</v>
      </c>
      <c r="J20" s="71">
        <f>'2'!J20</f>
        <v>169.81774235183218</v>
      </c>
      <c r="L20" s="78"/>
      <c r="M20" s="75"/>
      <c r="N20" s="78"/>
      <c r="O20" s="75"/>
    </row>
    <row r="21" spans="2:15" x14ac:dyDescent="0.25">
      <c r="B21" s="8"/>
      <c r="C21" s="9" t="s">
        <v>514</v>
      </c>
      <c r="D21" s="10" t="s">
        <v>52</v>
      </c>
      <c r="E21" s="37" t="s">
        <v>9</v>
      </c>
      <c r="F21" s="10" t="s">
        <v>155</v>
      </c>
      <c r="G21" s="21">
        <v>11.85</v>
      </c>
      <c r="H21" s="62">
        <v>1</v>
      </c>
      <c r="I21" s="70">
        <f>'2'!I21</f>
        <v>44.598373522722554</v>
      </c>
      <c r="J21" s="71">
        <f>'2'!J21</f>
        <v>181.37639861636185</v>
      </c>
      <c r="L21" s="78"/>
      <c r="M21" s="75"/>
      <c r="N21" s="78"/>
      <c r="O21" s="75"/>
    </row>
    <row r="22" spans="2:15" x14ac:dyDescent="0.25">
      <c r="B22" s="8"/>
      <c r="C22" s="9" t="s">
        <v>515</v>
      </c>
      <c r="D22" s="10" t="s">
        <v>52</v>
      </c>
      <c r="E22" s="37" t="s">
        <v>9</v>
      </c>
      <c r="F22" s="10" t="s">
        <v>155</v>
      </c>
      <c r="G22" s="21">
        <v>15.8</v>
      </c>
      <c r="H22" s="62">
        <v>1</v>
      </c>
      <c r="I22" s="70">
        <f>'2'!I22</f>
        <v>53.825623217078942</v>
      </c>
      <c r="J22" s="71">
        <f>'2'!J22</f>
        <v>238.80620018226404</v>
      </c>
      <c r="L22" s="85"/>
      <c r="M22" s="86"/>
      <c r="N22" s="85"/>
      <c r="O22" s="86"/>
    </row>
    <row r="23" spans="2:15" x14ac:dyDescent="0.25">
      <c r="B23" s="8"/>
      <c r="C23" s="9" t="s">
        <v>516</v>
      </c>
      <c r="D23" s="10" t="s">
        <v>52</v>
      </c>
      <c r="E23" s="37" t="s">
        <v>9</v>
      </c>
      <c r="F23" s="10" t="s">
        <v>155</v>
      </c>
      <c r="G23" s="21">
        <v>6.2</v>
      </c>
      <c r="H23" s="62">
        <v>1</v>
      </c>
      <c r="I23" s="70">
        <f>'2'!I23</f>
        <v>23.068124235890977</v>
      </c>
      <c r="J23" s="71">
        <f>'2'!J23</f>
        <v>101.04737237544809</v>
      </c>
      <c r="L23" s="85"/>
      <c r="M23" s="86"/>
      <c r="N23" s="85"/>
      <c r="O23" s="86"/>
    </row>
    <row r="24" spans="2:15" x14ac:dyDescent="0.25">
      <c r="B24" s="8"/>
      <c r="C24" s="9" t="s">
        <v>517</v>
      </c>
      <c r="D24" s="10" t="s">
        <v>52</v>
      </c>
      <c r="E24" s="37" t="s">
        <v>9</v>
      </c>
      <c r="F24" s="10" t="s">
        <v>155</v>
      </c>
      <c r="G24" s="21">
        <v>6.2</v>
      </c>
      <c r="H24" s="62">
        <v>1</v>
      </c>
      <c r="I24" s="70">
        <f>'2'!I24</f>
        <v>23.068124235890977</v>
      </c>
      <c r="J24" s="71">
        <f>'2'!J24</f>
        <v>115.49569270611019</v>
      </c>
      <c r="L24" s="85"/>
      <c r="M24" s="86"/>
      <c r="N24" s="85"/>
      <c r="O24" s="86"/>
    </row>
    <row r="25" spans="2:15" x14ac:dyDescent="0.25">
      <c r="B25" s="8"/>
      <c r="C25" s="145"/>
      <c r="D25" s="146"/>
      <c r="E25" s="146"/>
      <c r="F25" s="146"/>
      <c r="G25" s="146"/>
      <c r="H25" s="147"/>
      <c r="I25" s="70"/>
      <c r="J25" s="71"/>
      <c r="L25" s="85"/>
      <c r="M25" s="86"/>
      <c r="N25" s="85"/>
      <c r="O25" s="86"/>
    </row>
    <row r="26" spans="2:15" x14ac:dyDescent="0.25">
      <c r="B26" s="8"/>
      <c r="C26" s="9" t="s">
        <v>518</v>
      </c>
      <c r="D26" s="10" t="s">
        <v>10</v>
      </c>
      <c r="E26" s="37" t="s">
        <v>9</v>
      </c>
      <c r="F26" s="10" t="s">
        <v>89</v>
      </c>
      <c r="G26" s="21">
        <v>3.15</v>
      </c>
      <c r="H26" s="62">
        <v>7</v>
      </c>
      <c r="I26" s="70">
        <f>7860*O3*(2*(0.54+0.4)+2*0.1-6*0.025)*M26*2*H26</f>
        <v>78.062710203266505</v>
      </c>
      <c r="J26" s="71">
        <f>1.15*(7860*(T3*G26*O26))*H26</f>
        <v>320.58914545016262</v>
      </c>
      <c r="L26" s="78">
        <f>(G26-0.24)/0.25</f>
        <v>11.64</v>
      </c>
      <c r="M26" s="75">
        <v>13</v>
      </c>
      <c r="N26" s="78"/>
      <c r="O26" s="75">
        <f>4+4</f>
        <v>8</v>
      </c>
    </row>
    <row r="27" spans="2:15" x14ac:dyDescent="0.25">
      <c r="B27" s="8"/>
      <c r="C27" s="9" t="s">
        <v>519</v>
      </c>
      <c r="D27" s="10" t="s">
        <v>10</v>
      </c>
      <c r="E27" s="37" t="s">
        <v>9</v>
      </c>
      <c r="F27" s="10" t="s">
        <v>89</v>
      </c>
      <c r="G27" s="21">
        <v>3.15</v>
      </c>
      <c r="H27" s="62">
        <v>13</v>
      </c>
      <c r="I27" s="70">
        <f>7860*O3*(2*(0.54+0.4)+2*0.1-6*0.025)*M27*2*H27</f>
        <v>144.97360466320924</v>
      </c>
      <c r="J27" s="71">
        <f>1.15*(7860*(T3*G27*O27))*H27</f>
        <v>595.37984155030199</v>
      </c>
      <c r="L27" s="78">
        <f t="shared" ref="L27:L28" si="1">(G27-0.24)/0.25</f>
        <v>11.64</v>
      </c>
      <c r="M27" s="75">
        <v>13</v>
      </c>
      <c r="N27" s="78"/>
      <c r="O27" s="75">
        <f t="shared" ref="O27:O28" si="2">4+4</f>
        <v>8</v>
      </c>
    </row>
    <row r="28" spans="2:15" x14ac:dyDescent="0.25">
      <c r="B28" s="8"/>
      <c r="C28" s="9" t="s">
        <v>520</v>
      </c>
      <c r="D28" s="10" t="s">
        <v>10</v>
      </c>
      <c r="E28" s="37" t="s">
        <v>9</v>
      </c>
      <c r="F28" s="10" t="s">
        <v>89</v>
      </c>
      <c r="G28" s="21">
        <v>3.15</v>
      </c>
      <c r="H28" s="62">
        <v>6</v>
      </c>
      <c r="I28" s="70">
        <f>7860*O3*(2*(0.54+0.4)+2*0.1-6*0.025)*M28*2*H28</f>
        <v>66.910894459942725</v>
      </c>
      <c r="J28" s="71">
        <f>1.15*(7860*(T3*G28*O28))*H28</f>
        <v>274.79069610013937</v>
      </c>
      <c r="L28" s="78">
        <f t="shared" si="1"/>
        <v>11.64</v>
      </c>
      <c r="M28" s="75">
        <v>13</v>
      </c>
      <c r="N28" s="78"/>
      <c r="O28" s="75">
        <f t="shared" si="2"/>
        <v>8</v>
      </c>
    </row>
    <row r="29" spans="2:15" x14ac:dyDescent="0.25">
      <c r="B29" s="8"/>
      <c r="C29" s="145"/>
      <c r="D29" s="146"/>
      <c r="E29" s="146"/>
      <c r="F29" s="146"/>
      <c r="G29" s="146"/>
      <c r="H29" s="147"/>
      <c r="I29" s="70"/>
      <c r="J29" s="87"/>
      <c r="L29" s="78"/>
      <c r="M29" s="75"/>
      <c r="N29" s="78"/>
      <c r="O29" s="75"/>
    </row>
    <row r="30" spans="2:15" x14ac:dyDescent="0.25">
      <c r="B30" s="8"/>
      <c r="C30" s="95" t="s">
        <v>521</v>
      </c>
      <c r="D30" s="10" t="s">
        <v>15</v>
      </c>
      <c r="E30" s="37" t="s">
        <v>9</v>
      </c>
      <c r="F30" s="10" t="s">
        <v>16</v>
      </c>
      <c r="G30" s="38">
        <v>6.5</v>
      </c>
      <c r="H30" s="62">
        <v>1</v>
      </c>
      <c r="I30" s="107">
        <v>0</v>
      </c>
      <c r="J30" s="103">
        <f>16.4*(G30*3.14-1.22*2.26)</f>
        <v>289.50591999999995</v>
      </c>
      <c r="L30" s="78"/>
      <c r="M30" s="75"/>
      <c r="N30" s="78"/>
      <c r="O30" s="75"/>
    </row>
    <row r="31" spans="2:15" x14ac:dyDescent="0.25">
      <c r="B31" s="8"/>
      <c r="C31" s="95" t="s">
        <v>522</v>
      </c>
      <c r="D31" s="10" t="s">
        <v>15</v>
      </c>
      <c r="E31" s="37" t="s">
        <v>9</v>
      </c>
      <c r="F31" s="10" t="s">
        <v>16</v>
      </c>
      <c r="G31" s="38">
        <v>2.95</v>
      </c>
      <c r="H31" s="62">
        <v>1</v>
      </c>
      <c r="I31" s="107">
        <v>0</v>
      </c>
      <c r="J31" s="103">
        <f>16.4*(G31*3.14)</f>
        <v>151.91320000000002</v>
      </c>
      <c r="L31" s="78"/>
      <c r="M31" s="75"/>
      <c r="N31" s="78"/>
      <c r="O31" s="75"/>
    </row>
    <row r="32" spans="2:15" x14ac:dyDescent="0.25">
      <c r="B32" s="8"/>
      <c r="C32" s="95" t="s">
        <v>523</v>
      </c>
      <c r="D32" s="10" t="s">
        <v>15</v>
      </c>
      <c r="E32" s="37" t="s">
        <v>9</v>
      </c>
      <c r="F32" s="10" t="s">
        <v>16</v>
      </c>
      <c r="G32" s="38">
        <v>4.6500000000000004</v>
      </c>
      <c r="H32" s="62">
        <v>1</v>
      </c>
      <c r="I32" s="107">
        <v>0</v>
      </c>
      <c r="J32" s="103">
        <f>16.4*(G32*3.14-0.8*2.09)</f>
        <v>212.03559999999999</v>
      </c>
      <c r="L32" s="78"/>
      <c r="M32" s="75"/>
      <c r="N32" s="78"/>
      <c r="O32" s="75"/>
    </row>
    <row r="33" spans="2:15" x14ac:dyDescent="0.25">
      <c r="B33" s="8"/>
      <c r="C33" s="95" t="s">
        <v>524</v>
      </c>
      <c r="D33" s="10" t="s">
        <v>15</v>
      </c>
      <c r="E33" s="37" t="s">
        <v>9</v>
      </c>
      <c r="F33" s="10" t="s">
        <v>16</v>
      </c>
      <c r="G33" s="39">
        <v>6.5</v>
      </c>
      <c r="H33" s="62">
        <v>1</v>
      </c>
      <c r="I33" s="107">
        <v>0</v>
      </c>
      <c r="J33" s="103">
        <f>16.4*(G33*3.14)</f>
        <v>334.72399999999999</v>
      </c>
      <c r="L33" s="78"/>
      <c r="M33" s="75"/>
      <c r="N33" s="78"/>
      <c r="O33" s="75"/>
    </row>
    <row r="34" spans="2:15" x14ac:dyDescent="0.25">
      <c r="B34" s="8"/>
      <c r="C34" s="95" t="s">
        <v>525</v>
      </c>
      <c r="D34" s="10" t="s">
        <v>15</v>
      </c>
      <c r="E34" s="37" t="s">
        <v>9</v>
      </c>
      <c r="F34" s="10" t="s">
        <v>16</v>
      </c>
      <c r="G34" s="38">
        <v>11.18</v>
      </c>
      <c r="H34" s="62">
        <v>1</v>
      </c>
      <c r="I34" s="107">
        <v>0</v>
      </c>
      <c r="J34" s="103">
        <f>16.4*(G34*3.14-1.22*2.26)</f>
        <v>530.50720000000001</v>
      </c>
      <c r="L34" s="78"/>
      <c r="M34" s="75"/>
      <c r="N34" s="78"/>
      <c r="O34" s="75"/>
    </row>
    <row r="35" spans="2:15" x14ac:dyDescent="0.25">
      <c r="B35" s="8"/>
      <c r="C35" s="95" t="s">
        <v>526</v>
      </c>
      <c r="D35" s="10" t="s">
        <v>15</v>
      </c>
      <c r="E35" s="37" t="s">
        <v>9</v>
      </c>
      <c r="F35" s="10" t="s">
        <v>16</v>
      </c>
      <c r="G35" s="38">
        <v>4.1500000000000004</v>
      </c>
      <c r="H35" s="62">
        <v>1</v>
      </c>
      <c r="I35" s="107">
        <v>0</v>
      </c>
      <c r="J35" s="103">
        <f>16.4*(G35*3.14-1.18*2.33-1.18*2.33)</f>
        <v>123.52808000000005</v>
      </c>
      <c r="L35" s="78"/>
      <c r="M35" s="75"/>
      <c r="N35" s="78"/>
      <c r="O35" s="75"/>
    </row>
    <row r="36" spans="2:15" x14ac:dyDescent="0.25">
      <c r="B36" s="8"/>
      <c r="C36" s="95" t="s">
        <v>527</v>
      </c>
      <c r="D36" s="10" t="s">
        <v>15</v>
      </c>
      <c r="E36" s="37" t="s">
        <v>9</v>
      </c>
      <c r="F36" s="10" t="s">
        <v>16</v>
      </c>
      <c r="G36" s="38">
        <v>2.2000000000000002</v>
      </c>
      <c r="H36" s="62">
        <v>1</v>
      </c>
      <c r="I36" s="107">
        <v>0</v>
      </c>
      <c r="J36" s="103">
        <f>16.4*(G36*3.14)</f>
        <v>113.29120000000002</v>
      </c>
      <c r="L36" s="78"/>
      <c r="M36" s="75"/>
      <c r="N36" s="78"/>
      <c r="O36" s="75"/>
    </row>
    <row r="37" spans="2:15" x14ac:dyDescent="0.25">
      <c r="B37" s="8"/>
      <c r="C37" s="95" t="s">
        <v>528</v>
      </c>
      <c r="D37" s="10" t="s">
        <v>15</v>
      </c>
      <c r="E37" s="37" t="s">
        <v>9</v>
      </c>
      <c r="F37" s="10" t="s">
        <v>16</v>
      </c>
      <c r="G37" s="38">
        <v>2.2000000000000002</v>
      </c>
      <c r="H37" s="62">
        <v>1</v>
      </c>
      <c r="I37" s="107">
        <v>0</v>
      </c>
      <c r="J37" s="103">
        <f>16.4*(G37*3.14)</f>
        <v>113.29120000000002</v>
      </c>
      <c r="L37" s="78"/>
      <c r="M37" s="75"/>
      <c r="N37" s="78"/>
      <c r="O37" s="75"/>
    </row>
    <row r="38" spans="2:15" x14ac:dyDescent="0.25">
      <c r="B38" s="8"/>
      <c r="C38" s="95" t="s">
        <v>529</v>
      </c>
      <c r="D38" s="10" t="s">
        <v>15</v>
      </c>
      <c r="E38" s="37" t="s">
        <v>9</v>
      </c>
      <c r="F38" s="10" t="s">
        <v>16</v>
      </c>
      <c r="G38" s="38">
        <v>9.24</v>
      </c>
      <c r="H38" s="62">
        <v>1</v>
      </c>
      <c r="I38" s="107">
        <v>0</v>
      </c>
      <c r="J38" s="103">
        <f>16.4*(G38*3.14-1.7*3.14)</f>
        <v>388.27983999999998</v>
      </c>
      <c r="L38" s="78"/>
      <c r="M38" s="75"/>
      <c r="N38" s="78"/>
      <c r="O38" s="75"/>
    </row>
    <row r="39" spans="2:15" x14ac:dyDescent="0.25">
      <c r="B39" s="8"/>
      <c r="C39" s="95" t="s">
        <v>530</v>
      </c>
      <c r="D39" s="10" t="s">
        <v>15</v>
      </c>
      <c r="E39" s="37" t="s">
        <v>9</v>
      </c>
      <c r="F39" s="10" t="s">
        <v>16</v>
      </c>
      <c r="G39" s="38">
        <v>6.5</v>
      </c>
      <c r="H39" s="62">
        <v>1</v>
      </c>
      <c r="I39" s="107">
        <v>0</v>
      </c>
      <c r="J39" s="103">
        <f>16.4*(G39*3.14-1*2.23)</f>
        <v>298.15199999999999</v>
      </c>
      <c r="L39" s="78"/>
      <c r="M39" s="75"/>
      <c r="N39" s="78"/>
      <c r="O39" s="75"/>
    </row>
    <row r="40" spans="2:15" x14ac:dyDescent="0.25">
      <c r="B40" s="8"/>
      <c r="C40" s="95" t="s">
        <v>531</v>
      </c>
      <c r="D40" s="10" t="s">
        <v>15</v>
      </c>
      <c r="E40" s="37" t="s">
        <v>9</v>
      </c>
      <c r="F40" s="10" t="s">
        <v>16</v>
      </c>
      <c r="G40" s="38">
        <v>6.5</v>
      </c>
      <c r="H40" s="62">
        <v>1</v>
      </c>
      <c r="I40" s="107">
        <v>0</v>
      </c>
      <c r="J40" s="103">
        <f>16.4*(G40*3.14-0.9*2.23*4)</f>
        <v>203.06479999999999</v>
      </c>
      <c r="L40" s="78"/>
      <c r="M40" s="75"/>
      <c r="N40" s="78"/>
      <c r="O40" s="75"/>
    </row>
    <row r="41" spans="2:15" x14ac:dyDescent="0.25">
      <c r="B41" s="8"/>
      <c r="C41" s="145"/>
      <c r="D41" s="146"/>
      <c r="E41" s="146"/>
      <c r="F41" s="146"/>
      <c r="G41" s="146"/>
      <c r="H41" s="147"/>
      <c r="I41" s="70"/>
      <c r="J41" s="87"/>
      <c r="L41" s="78"/>
      <c r="M41" s="75"/>
      <c r="N41" s="78"/>
      <c r="O41" s="75"/>
    </row>
    <row r="42" spans="2:15" x14ac:dyDescent="0.25">
      <c r="B42" s="8"/>
      <c r="C42" s="9" t="s">
        <v>532</v>
      </c>
      <c r="D42" s="10" t="s">
        <v>17</v>
      </c>
      <c r="E42" s="37" t="s">
        <v>9</v>
      </c>
      <c r="F42" s="10" t="s">
        <v>60</v>
      </c>
      <c r="G42" s="40" t="s">
        <v>8</v>
      </c>
      <c r="H42" s="62">
        <v>1</v>
      </c>
      <c r="I42" s="70">
        <v>0</v>
      </c>
      <c r="J42" s="71">
        <f>1.15*(6328+177+116+61+59+4339+13+54+63+30+183+50+43+161+36+41+391+61+118+278+148+52+19+70+11+277+28+296+14+15+28+324)</f>
        <v>15966.599999999999</v>
      </c>
      <c r="L42" s="78"/>
      <c r="M42" s="75"/>
      <c r="N42" s="78"/>
      <c r="O42" s="75"/>
    </row>
    <row r="43" spans="2:15" x14ac:dyDescent="0.25">
      <c r="B43" s="8"/>
      <c r="C43" s="145"/>
      <c r="D43" s="146"/>
      <c r="E43" s="146"/>
      <c r="F43" s="146"/>
      <c r="G43" s="146"/>
      <c r="H43" s="147"/>
      <c r="I43" s="70"/>
      <c r="J43" s="87"/>
      <c r="L43" s="78"/>
      <c r="M43" s="75"/>
      <c r="N43" s="78"/>
      <c r="O43" s="75"/>
    </row>
    <row r="44" spans="2:15" x14ac:dyDescent="0.25">
      <c r="B44" s="8"/>
      <c r="C44" s="9" t="s">
        <v>533</v>
      </c>
      <c r="D44" s="10" t="s">
        <v>193</v>
      </c>
      <c r="E44" s="37" t="s">
        <v>9</v>
      </c>
      <c r="F44" s="10" t="s">
        <v>194</v>
      </c>
      <c r="G44" s="40" t="s">
        <v>8</v>
      </c>
      <c r="H44" s="62">
        <v>1</v>
      </c>
      <c r="I44" s="70">
        <v>0</v>
      </c>
      <c r="J44" s="71">
        <f>1.15*(98+282)</f>
        <v>436.99999999999994</v>
      </c>
      <c r="L44" s="78"/>
      <c r="M44" s="75"/>
      <c r="N44" s="78"/>
      <c r="O44" s="75"/>
    </row>
    <row r="45" spans="2:15" x14ac:dyDescent="0.25">
      <c r="B45" s="8"/>
      <c r="C45" s="9" t="s">
        <v>534</v>
      </c>
      <c r="D45" s="10" t="s">
        <v>193</v>
      </c>
      <c r="E45" s="37" t="s">
        <v>9</v>
      </c>
      <c r="F45" s="10" t="s">
        <v>194</v>
      </c>
      <c r="G45" s="40" t="s">
        <v>8</v>
      </c>
      <c r="H45" s="62">
        <v>1</v>
      </c>
      <c r="I45" s="70">
        <v>0</v>
      </c>
      <c r="J45" s="71">
        <f>1.15*(115+332)</f>
        <v>514.04999999999995</v>
      </c>
      <c r="L45" s="78"/>
      <c r="M45" s="75"/>
      <c r="N45" s="78"/>
      <c r="O45" s="75"/>
    </row>
    <row r="46" spans="2:15" x14ac:dyDescent="0.25">
      <c r="B46" s="8"/>
      <c r="C46" s="9" t="s">
        <v>535</v>
      </c>
      <c r="D46" s="10" t="s">
        <v>193</v>
      </c>
      <c r="E46" s="37" t="s">
        <v>9</v>
      </c>
      <c r="F46" s="10" t="s">
        <v>194</v>
      </c>
      <c r="G46" s="40" t="s">
        <v>8</v>
      </c>
      <c r="H46" s="62">
        <v>1</v>
      </c>
      <c r="I46" s="70">
        <v>0</v>
      </c>
      <c r="J46" s="71">
        <f>1.15*(84+151)</f>
        <v>270.25</v>
      </c>
      <c r="L46" s="78"/>
      <c r="M46" s="75"/>
      <c r="N46" s="78"/>
      <c r="O46" s="75"/>
    </row>
    <row r="47" spans="2:15" x14ac:dyDescent="0.25">
      <c r="B47" s="8"/>
      <c r="C47" s="9" t="s">
        <v>536</v>
      </c>
      <c r="D47" s="10" t="s">
        <v>193</v>
      </c>
      <c r="E47" s="37" t="s">
        <v>9</v>
      </c>
      <c r="F47" s="10" t="s">
        <v>194</v>
      </c>
      <c r="G47" s="40" t="s">
        <v>8</v>
      </c>
      <c r="H47" s="62">
        <v>1</v>
      </c>
      <c r="I47" s="70">
        <v>0</v>
      </c>
      <c r="J47" s="71">
        <f>1.15*(75+136)</f>
        <v>242.64999999999998</v>
      </c>
      <c r="L47" s="78"/>
      <c r="M47" s="75"/>
      <c r="N47" s="78"/>
      <c r="O47" s="75"/>
    </row>
    <row r="48" spans="2:15" x14ac:dyDescent="0.25">
      <c r="B48" s="8"/>
      <c r="C48" s="9" t="s">
        <v>537</v>
      </c>
      <c r="D48" s="10" t="s">
        <v>193</v>
      </c>
      <c r="E48" s="37" t="s">
        <v>9</v>
      </c>
      <c r="F48" s="10" t="s">
        <v>194</v>
      </c>
      <c r="G48" s="40" t="s">
        <v>8</v>
      </c>
      <c r="H48" s="62">
        <v>1</v>
      </c>
      <c r="I48" s="70">
        <v>0</v>
      </c>
      <c r="J48" s="71">
        <f>1.15*(83+240)</f>
        <v>371.45</v>
      </c>
      <c r="L48" s="78"/>
      <c r="M48" s="75"/>
      <c r="N48" s="78"/>
      <c r="O48" s="75"/>
    </row>
    <row r="49" spans="2:23" x14ac:dyDescent="0.25">
      <c r="B49" s="8"/>
      <c r="C49" s="9" t="s">
        <v>538</v>
      </c>
      <c r="D49" s="10" t="s">
        <v>193</v>
      </c>
      <c r="E49" s="37" t="s">
        <v>9</v>
      </c>
      <c r="F49" s="10" t="s">
        <v>194</v>
      </c>
      <c r="G49" s="40" t="s">
        <v>8</v>
      </c>
      <c r="H49" s="62">
        <v>1</v>
      </c>
      <c r="I49" s="70">
        <v>0</v>
      </c>
      <c r="J49" s="71">
        <f>1.15*(84+151)</f>
        <v>270.25</v>
      </c>
      <c r="L49" s="78"/>
      <c r="M49" s="75"/>
      <c r="N49" s="78"/>
      <c r="O49" s="75"/>
    </row>
    <row r="50" spans="2:23" x14ac:dyDescent="0.25">
      <c r="B50" s="8"/>
      <c r="C50" s="9" t="s">
        <v>539</v>
      </c>
      <c r="D50" s="10" t="s">
        <v>193</v>
      </c>
      <c r="E50" s="37" t="s">
        <v>9</v>
      </c>
      <c r="F50" s="10" t="s">
        <v>194</v>
      </c>
      <c r="G50" s="40" t="s">
        <v>8</v>
      </c>
      <c r="H50" s="62">
        <v>1</v>
      </c>
      <c r="I50" s="70">
        <v>0</v>
      </c>
      <c r="J50" s="71">
        <f>1.15*(84+242)</f>
        <v>374.9</v>
      </c>
      <c r="L50" s="106"/>
      <c r="M50" s="75"/>
      <c r="N50" s="78"/>
      <c r="O50" s="75"/>
    </row>
    <row r="51" spans="2:23" x14ac:dyDescent="0.25">
      <c r="B51" s="8"/>
      <c r="C51" s="145"/>
      <c r="D51" s="146"/>
      <c r="E51" s="146"/>
      <c r="F51" s="146"/>
      <c r="G51" s="146"/>
      <c r="H51" s="147"/>
      <c r="I51" s="70"/>
      <c r="J51" s="87"/>
      <c r="L51" s="78"/>
      <c r="M51" s="75"/>
      <c r="N51" s="78"/>
      <c r="O51" s="75"/>
    </row>
    <row r="52" spans="2:23" ht="30" x14ac:dyDescent="0.25">
      <c r="B52" s="8"/>
      <c r="C52" s="41" t="s">
        <v>540</v>
      </c>
      <c r="D52" s="10" t="s">
        <v>56</v>
      </c>
      <c r="E52" s="37" t="s">
        <v>9</v>
      </c>
      <c r="F52" s="37" t="s">
        <v>350</v>
      </c>
      <c r="G52" s="40" t="s">
        <v>8</v>
      </c>
      <c r="H52" s="117">
        <v>1</v>
      </c>
      <c r="I52" s="70">
        <f>7860*(O3*(1.32-2*0.025)*(M52+Q52))*1.5+7860*(O3*(0.78-2*0.025)*U52)*2</f>
        <v>16.594381856396716</v>
      </c>
      <c r="J52" s="71">
        <f>1.15*(7860*(Q3*(3.33+3.26)*O52))*1.5+1.15*(7860*(R3*2.64*W52))*2</f>
        <v>125.23439446986916</v>
      </c>
      <c r="L52" s="85">
        <f>3.33/0.25</f>
        <v>13.32</v>
      </c>
      <c r="M52" s="86">
        <v>15</v>
      </c>
      <c r="N52" s="85">
        <f>(1.32-2*0.025)/0.1</f>
        <v>12.7</v>
      </c>
      <c r="O52" s="86">
        <v>14</v>
      </c>
      <c r="P52" s="6">
        <f>3.26/0.25</f>
        <v>13.04</v>
      </c>
      <c r="Q52" s="6">
        <v>15</v>
      </c>
      <c r="T52" s="6">
        <f>(2.64-2*0.025)/0.25</f>
        <v>10.360000000000001</v>
      </c>
      <c r="U52" s="6">
        <v>12</v>
      </c>
      <c r="V52">
        <f>(0.78-2*0.025)/0.2</f>
        <v>3.65</v>
      </c>
      <c r="W52">
        <v>5</v>
      </c>
    </row>
    <row r="53" spans="2:23" x14ac:dyDescent="0.25">
      <c r="B53" s="8"/>
      <c r="C53" s="9" t="s">
        <v>541</v>
      </c>
      <c r="D53" s="10" t="s">
        <v>63</v>
      </c>
      <c r="E53" s="37" t="s">
        <v>9</v>
      </c>
      <c r="F53" s="10" t="s">
        <v>190</v>
      </c>
      <c r="G53" s="38">
        <v>3.14</v>
      </c>
      <c r="H53" s="111">
        <v>1</v>
      </c>
      <c r="I53" s="70">
        <f>7860*O3*(2*(0.24+0.38)+2*0.1-8*0.025)*M53</f>
        <v>5.2358863872600327</v>
      </c>
      <c r="J53" s="71">
        <f>1.15*(7860*(T3*G53*O53))+1.15*(7860*(R3*G53*Q53))</f>
        <v>17.833225565361232</v>
      </c>
      <c r="L53" s="85">
        <f>(G53-2*0.25)/0.15</f>
        <v>17.600000000000001</v>
      </c>
      <c r="M53" s="86">
        <v>19</v>
      </c>
      <c r="N53" s="85"/>
      <c r="O53" s="86">
        <f>2</f>
        <v>2</v>
      </c>
      <c r="P53" s="6"/>
      <c r="Q53" s="6">
        <f>2</f>
        <v>2</v>
      </c>
    </row>
    <row r="54" spans="2:23" x14ac:dyDescent="0.25">
      <c r="B54" s="8"/>
      <c r="C54" s="9" t="s">
        <v>542</v>
      </c>
      <c r="D54" s="10" t="s">
        <v>63</v>
      </c>
      <c r="E54" s="37" t="s">
        <v>9</v>
      </c>
      <c r="F54" s="10" t="s">
        <v>191</v>
      </c>
      <c r="G54" s="101">
        <v>2.64</v>
      </c>
      <c r="H54" s="111">
        <v>1</v>
      </c>
      <c r="I54" s="70">
        <f>7860*O3*(2*(0.54+0.2)+2*0.1-6*0.025)*M54*2</f>
        <v>12.920816407270724</v>
      </c>
      <c r="J54" s="71">
        <f>1.15*(7860*(R3*G54*O54))</f>
        <v>29.687209132247208</v>
      </c>
      <c r="L54" s="85">
        <f>(G54)/0.15</f>
        <v>17.600000000000001</v>
      </c>
      <c r="M54" s="86">
        <v>19</v>
      </c>
      <c r="N54" s="85"/>
      <c r="O54" s="86">
        <f>4+7</f>
        <v>11</v>
      </c>
    </row>
    <row r="55" spans="2:23" x14ac:dyDescent="0.25">
      <c r="C55" s="159"/>
      <c r="D55" s="137"/>
      <c r="E55" s="137"/>
      <c r="F55" s="137"/>
      <c r="G55" s="137"/>
      <c r="H55" s="160"/>
      <c r="I55" s="70"/>
      <c r="J55" s="71"/>
      <c r="L55" s="85"/>
      <c r="M55" s="86"/>
      <c r="N55" s="85"/>
      <c r="O55" s="86"/>
    </row>
    <row r="56" spans="2:23" ht="45.75" thickBot="1" x14ac:dyDescent="0.3">
      <c r="C56" s="51" t="s">
        <v>543</v>
      </c>
      <c r="D56" s="42" t="s">
        <v>444</v>
      </c>
      <c r="E56" s="43" t="s">
        <v>445</v>
      </c>
      <c r="F56" s="43" t="s">
        <v>456</v>
      </c>
      <c r="G56" s="44">
        <v>3.65</v>
      </c>
      <c r="H56" s="118">
        <v>1</v>
      </c>
      <c r="I56" s="72"/>
      <c r="J56" s="73"/>
      <c r="L56" s="90"/>
      <c r="M56" s="91"/>
      <c r="N56" s="90"/>
      <c r="O56" s="91"/>
    </row>
    <row r="57" spans="2:23" ht="15.75" thickBot="1" x14ac:dyDescent="0.3">
      <c r="C57" s="126" t="s">
        <v>648</v>
      </c>
      <c r="D57" s="126"/>
      <c r="E57" s="126"/>
      <c r="F57" s="126"/>
      <c r="G57" s="126"/>
      <c r="H57" s="126"/>
      <c r="I57" s="119">
        <f>SUM(I7:I56)</f>
        <v>765.46392171845673</v>
      </c>
      <c r="J57" s="120">
        <f>SUM(J7:J56)</f>
        <v>24465.463161558022</v>
      </c>
    </row>
  </sheetData>
  <mergeCells count="13">
    <mergeCell ref="I4:J4"/>
    <mergeCell ref="C57:H57"/>
    <mergeCell ref="C29:H29"/>
    <mergeCell ref="C41:H41"/>
    <mergeCell ref="C43:H43"/>
    <mergeCell ref="C51:H51"/>
    <mergeCell ref="C55:H55"/>
    <mergeCell ref="C25:H25"/>
    <mergeCell ref="C4:H4"/>
    <mergeCell ref="C6:H6"/>
    <mergeCell ref="C8:H8"/>
    <mergeCell ref="C12:H12"/>
    <mergeCell ref="C14:H1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F</vt:lpstr>
      <vt:lpstr>P</vt:lpstr>
      <vt:lpstr>0</vt:lpstr>
      <vt:lpstr>1</vt:lpstr>
      <vt:lpstr>2</vt:lpstr>
      <vt:lpstr>3</vt:lpstr>
      <vt:lpstr>4</vt:lpstr>
      <vt:lpstr>5</vt:lpstr>
      <vt:lpstr>6</vt:lpstr>
      <vt:lpstr>7</vt:lpstr>
      <vt:lpstr>8</vt:lpstr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ZDI</dc:creator>
  <cp:lastModifiedBy>ZDI</cp:lastModifiedBy>
  <dcterms:created xsi:type="dcterms:W3CDTF">2019-09-03T13:00:12Z</dcterms:created>
  <dcterms:modified xsi:type="dcterms:W3CDTF">2023-03-09T08:15:53Z</dcterms:modified>
</cp:coreProperties>
</file>